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35" yWindow="195" windowWidth="11475" windowHeight="7755" tabRatio="623" firstSheet="1" activeTab="3"/>
  </bookViews>
  <sheets>
    <sheet name="年度簡明合併損益表" sheetId="1" state="hidden" r:id="rId1"/>
    <sheet name="Quarterly Income Statement" sheetId="5" r:id="rId2"/>
    <sheet name="Quarterly Balance Sheet  " sheetId="3" r:id="rId3"/>
    <sheet name="Quarterly Cashflow Statement" sheetId="4" r:id="rId4"/>
  </sheets>
  <definedNames>
    <definedName name="_xlnm.Print_Area" localSheetId="2">'Quarterly Balance Sheet  '!$A$1:$Z$46</definedName>
    <definedName name="Z_293A8923_ED08_4701_85A2_A97D5F3D44EF_.wvu.Cols" localSheetId="2" hidden="1">'Quarterly Balance Sheet  '!$J:$M,'Quarterly Balance Sheet  '!$O:$AR</definedName>
    <definedName name="Z_293A8923_ED08_4701_85A2_A97D5F3D44EF_.wvu.Cols" localSheetId="3" hidden="1">'Quarterly Cashflow Statement'!$I:$J,'Quarterly Cashflow Statement'!$M:$AA</definedName>
    <definedName name="Z_293A8923_ED08_4701_85A2_A97D5F3D44EF_.wvu.Cols" localSheetId="0" hidden="1">年度簡明合併損益表!$F:$G</definedName>
    <definedName name="Z_293A8923_ED08_4701_85A2_A97D5F3D44EF_.wvu.PrintArea" localSheetId="2" hidden="1">'Quarterly Balance Sheet  '!$A$1:$Z$46</definedName>
    <definedName name="Z_293A8923_ED08_4701_85A2_A97D5F3D44EF_.wvu.Rows" localSheetId="2" hidden="1">'Quarterly Balance Sheet  '!$26:$47</definedName>
  </definedNames>
  <calcPr calcId="145621"/>
  <customWorkbookViews>
    <customWorkbookView name="Cynthia Lee - 個人檢視畫面" guid="{6CC4FA47-4F74-48A0-8033-8683B05A3BC4}" mergeInterval="0" personalView="1" maximized="1" xWindow="50" yWindow="53" windowWidth="966" windowHeight="472" activeSheetId="2" showComments="commIndAndComment"/>
    <customWorkbookView name="黃惠嫆 - 個人檢視畫面" guid="{293A8923-ED08-4701-85A2-A97D5F3D44EF}" mergeInterval="0" personalView="1" maximized="1" windowWidth="1916" windowHeight="742" activeSheetId="4"/>
  </customWorkbookViews>
</workbook>
</file>

<file path=xl/calcChain.xml><?xml version="1.0" encoding="utf-8"?>
<calcChain xmlns="http://schemas.openxmlformats.org/spreadsheetml/2006/main">
  <c r="B29" i="3" l="1"/>
  <c r="B31" i="3" s="1"/>
  <c r="B44" i="3"/>
  <c r="B43" i="3"/>
  <c r="B36" i="3"/>
  <c r="B38" i="3" s="1"/>
  <c r="B40" i="3" l="1"/>
  <c r="B37" i="3"/>
  <c r="B30" i="3"/>
  <c r="B45" i="3"/>
  <c r="D31" i="3" l="1"/>
  <c r="D30" i="3"/>
  <c r="D29" i="3"/>
  <c r="D36" i="3" s="1"/>
  <c r="D38" i="3" s="1"/>
  <c r="D44" i="3"/>
  <c r="B46" i="3" s="1"/>
  <c r="D43" i="3"/>
  <c r="D45" i="3" l="1"/>
  <c r="D40" i="3"/>
  <c r="D37" i="3"/>
  <c r="F29" i="3" l="1"/>
  <c r="F36" i="3" s="1"/>
  <c r="F37" i="3" s="1"/>
  <c r="F40" i="3"/>
  <c r="F44" i="3"/>
  <c r="D46" i="3" s="1"/>
  <c r="F43" i="3"/>
  <c r="F30" i="3" l="1"/>
  <c r="F31" i="3"/>
  <c r="F38" i="3"/>
  <c r="F45" i="3"/>
  <c r="F20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G5" i="1" s="1"/>
  <c r="G7" i="1" l="1"/>
  <c r="G13" i="1"/>
  <c r="D20" i="1"/>
  <c r="B20" i="1"/>
  <c r="D6" i="1"/>
  <c r="D7" i="1"/>
  <c r="D9" i="1"/>
  <c r="D10" i="1"/>
  <c r="D11" i="1"/>
  <c r="H11" i="1" s="1"/>
  <c r="D12" i="1"/>
  <c r="D13" i="1"/>
  <c r="D14" i="1"/>
  <c r="D15" i="1"/>
  <c r="D16" i="1"/>
  <c r="D17" i="1"/>
  <c r="B6" i="1"/>
  <c r="B7" i="1"/>
  <c r="C7" i="1" s="1"/>
  <c r="B9" i="1"/>
  <c r="B10" i="1"/>
  <c r="B11" i="1"/>
  <c r="B12" i="1"/>
  <c r="B13" i="1"/>
  <c r="B14" i="1"/>
  <c r="B15" i="1"/>
  <c r="B16" i="1"/>
  <c r="B17" i="1"/>
  <c r="D5" i="1"/>
  <c r="E5" i="1" s="1"/>
  <c r="B5" i="1"/>
  <c r="H6" i="1" l="1"/>
  <c r="H10" i="1"/>
  <c r="H14" i="1"/>
  <c r="H12" i="1"/>
  <c r="H9" i="1"/>
  <c r="E13" i="1"/>
  <c r="C13" i="1"/>
  <c r="E7" i="1"/>
  <c r="H5" i="1"/>
  <c r="C5" i="1"/>
  <c r="H7" i="1"/>
  <c r="H44" i="3" l="1"/>
  <c r="F46" i="3" s="1"/>
  <c r="H43" i="3"/>
  <c r="H29" i="3"/>
  <c r="H36" i="3" s="1"/>
  <c r="H40" i="3"/>
  <c r="H30" i="3" l="1"/>
  <c r="H45" i="3"/>
  <c r="H31" i="3"/>
  <c r="H38" i="3"/>
  <c r="J34" i="3" l="1"/>
  <c r="H37" i="3" s="1"/>
  <c r="J29" i="3" l="1"/>
  <c r="J45" i="3" s="1"/>
  <c r="J44" i="3"/>
  <c r="H46" i="3" s="1"/>
  <c r="J43" i="3"/>
  <c r="J30" i="3" l="1"/>
  <c r="J31" i="3"/>
  <c r="J36" i="3"/>
  <c r="J40" i="3" l="1"/>
  <c r="J37" i="3"/>
  <c r="J38" i="3"/>
  <c r="I58" i="4" l="1"/>
  <c r="I47" i="4"/>
  <c r="I45" i="4"/>
  <c r="I44" i="4"/>
  <c r="I43" i="4"/>
  <c r="I42" i="4"/>
  <c r="I35" i="4"/>
  <c r="I33" i="4"/>
  <c r="I32" i="4"/>
  <c r="I28" i="4"/>
  <c r="I27" i="4"/>
  <c r="I25" i="4"/>
  <c r="I21" i="4"/>
  <c r="I18" i="4"/>
  <c r="I16" i="4"/>
  <c r="I14" i="4"/>
  <c r="I12" i="4"/>
  <c r="I11" i="4"/>
  <c r="I10" i="4"/>
  <c r="I7" i="4"/>
  <c r="I6" i="4"/>
  <c r="I4" i="4"/>
  <c r="L29" i="3"/>
  <c r="L36" i="3" s="1"/>
  <c r="L38" i="3" s="1"/>
  <c r="L24" i="3" s="1"/>
  <c r="L4" i="4"/>
  <c r="M4" i="4"/>
  <c r="N4" i="4"/>
  <c r="N24" i="4" s="1"/>
  <c r="N29" i="4" s="1"/>
  <c r="P4" i="4"/>
  <c r="Q4" i="4" s="1"/>
  <c r="V4" i="4"/>
  <c r="L6" i="4"/>
  <c r="M6" i="4"/>
  <c r="N6" i="4"/>
  <c r="Q6" i="4"/>
  <c r="V6" i="4"/>
  <c r="L7" i="4"/>
  <c r="M7" i="4"/>
  <c r="N7" i="4"/>
  <c r="Q7" i="4"/>
  <c r="V7" i="4"/>
  <c r="L9" i="4"/>
  <c r="M9" i="4"/>
  <c r="N9" i="4"/>
  <c r="J10" i="4"/>
  <c r="J24" i="4" s="1"/>
  <c r="J29" i="4" s="1"/>
  <c r="J60" i="4" s="1"/>
  <c r="L10" i="4"/>
  <c r="M10" i="4"/>
  <c r="N10" i="4"/>
  <c r="O10" i="4"/>
  <c r="Q10" i="4"/>
  <c r="V10" i="4"/>
  <c r="L11" i="4"/>
  <c r="M11" i="4"/>
  <c r="N11" i="4"/>
  <c r="Q11" i="4"/>
  <c r="V11" i="4"/>
  <c r="L12" i="4"/>
  <c r="M12" i="4"/>
  <c r="N12" i="4"/>
  <c r="Q12" i="4"/>
  <c r="V12" i="4"/>
  <c r="L13" i="4"/>
  <c r="Q13" i="4"/>
  <c r="V13" i="4"/>
  <c r="L14" i="4"/>
  <c r="M14" i="4"/>
  <c r="N14" i="4"/>
  <c r="Q14" i="4"/>
  <c r="V14" i="4"/>
  <c r="Q15" i="4"/>
  <c r="V15" i="4"/>
  <c r="L16" i="4"/>
  <c r="M16" i="4"/>
  <c r="N16" i="4"/>
  <c r="P16" i="4"/>
  <c r="Q16" i="4"/>
  <c r="V16" i="4"/>
  <c r="V17" i="4"/>
  <c r="L18" i="4"/>
  <c r="Q18" i="4"/>
  <c r="V18" i="4"/>
  <c r="L19" i="4"/>
  <c r="L21" i="4"/>
  <c r="M21" i="4"/>
  <c r="M24" i="4" s="1"/>
  <c r="M29" i="4" s="1"/>
  <c r="M60" i="4" s="1"/>
  <c r="N21" i="4"/>
  <c r="Q21" i="4"/>
  <c r="V21" i="4"/>
  <c r="V22" i="4"/>
  <c r="M23" i="4"/>
  <c r="N23" i="4"/>
  <c r="V23" i="4"/>
  <c r="I24" i="4"/>
  <c r="I29" i="4" s="1"/>
  <c r="I60" i="4" s="1"/>
  <c r="K24" i="4"/>
  <c r="K29" i="4" s="1"/>
  <c r="K60" i="4" s="1"/>
  <c r="L24" i="4"/>
  <c r="L29" i="4" s="1"/>
  <c r="O24" i="4"/>
  <c r="O29" i="4" s="1"/>
  <c r="O60" i="4" s="1"/>
  <c r="P24" i="4"/>
  <c r="P29" i="4" s="1"/>
  <c r="R24" i="4"/>
  <c r="S24" i="4"/>
  <c r="T24" i="4"/>
  <c r="T29" i="4" s="1"/>
  <c r="T60" i="4" s="1"/>
  <c r="T64" i="4" s="1"/>
  <c r="U24" i="4"/>
  <c r="U29" i="4" s="1"/>
  <c r="U60" i="4" s="1"/>
  <c r="W24" i="4"/>
  <c r="X24" i="4"/>
  <c r="Y24" i="4"/>
  <c r="L25" i="4"/>
  <c r="M25" i="4"/>
  <c r="N25" i="4"/>
  <c r="P25" i="4"/>
  <c r="Q25" i="4"/>
  <c r="U25" i="4"/>
  <c r="V25" i="4" s="1"/>
  <c r="L27" i="4"/>
  <c r="M27" i="4"/>
  <c r="N27" i="4"/>
  <c r="Q27" i="4"/>
  <c r="V27" i="4"/>
  <c r="L28" i="4"/>
  <c r="M28" i="4"/>
  <c r="N28" i="4"/>
  <c r="Q28" i="4"/>
  <c r="V28" i="4"/>
  <c r="S29" i="4"/>
  <c r="X29" i="4"/>
  <c r="X60" i="4" s="1"/>
  <c r="X64" i="4" s="1"/>
  <c r="Y29" i="4"/>
  <c r="L32" i="4"/>
  <c r="M32" i="4"/>
  <c r="N32" i="4"/>
  <c r="N49" i="4" s="1"/>
  <c r="Q32" i="4"/>
  <c r="V32" i="4"/>
  <c r="L33" i="4"/>
  <c r="Q33" i="4"/>
  <c r="V33" i="4"/>
  <c r="M34" i="4"/>
  <c r="N34" i="4"/>
  <c r="Q34" i="4"/>
  <c r="V34" i="4"/>
  <c r="Q37" i="4"/>
  <c r="V37" i="4"/>
  <c r="Q40" i="4"/>
  <c r="V40" i="4"/>
  <c r="Q41" i="4"/>
  <c r="V41" i="4"/>
  <c r="L42" i="4"/>
  <c r="L49" i="4" s="1"/>
  <c r="M42" i="4"/>
  <c r="N42" i="4"/>
  <c r="Q42" i="4"/>
  <c r="V42" i="4"/>
  <c r="L43" i="4"/>
  <c r="M43" i="4"/>
  <c r="N43" i="4"/>
  <c r="P43" i="4"/>
  <c r="P49" i="4" s="1"/>
  <c r="Q49" i="4" s="1"/>
  <c r="V43" i="4"/>
  <c r="L44" i="4"/>
  <c r="M44" i="4"/>
  <c r="N44" i="4"/>
  <c r="Q44" i="4"/>
  <c r="V44" i="4"/>
  <c r="L45" i="4"/>
  <c r="M45" i="4"/>
  <c r="N45" i="4"/>
  <c r="Q45" i="4"/>
  <c r="V45" i="4"/>
  <c r="L47" i="4"/>
  <c r="M47" i="4"/>
  <c r="N47" i="4"/>
  <c r="Q47" i="4"/>
  <c r="V47" i="4"/>
  <c r="Q48" i="4"/>
  <c r="V48" i="4"/>
  <c r="I49" i="4"/>
  <c r="J49" i="4"/>
  <c r="K49" i="4"/>
  <c r="M49" i="4"/>
  <c r="O49" i="4"/>
  <c r="R49" i="4"/>
  <c r="S49" i="4"/>
  <c r="T49" i="4"/>
  <c r="U49" i="4"/>
  <c r="W49" i="4"/>
  <c r="X49" i="4"/>
  <c r="Y49" i="4"/>
  <c r="Q52" i="4"/>
  <c r="V52" i="4"/>
  <c r="L53" i="4"/>
  <c r="Q53" i="4"/>
  <c r="V53" i="4"/>
  <c r="V56" i="4" s="1"/>
  <c r="I56" i="4"/>
  <c r="J56" i="4"/>
  <c r="K56" i="4"/>
  <c r="L56" i="4"/>
  <c r="M56" i="4"/>
  <c r="N56" i="4"/>
  <c r="O56" i="4"/>
  <c r="P56" i="4"/>
  <c r="Q56" i="4" s="1"/>
  <c r="S56" i="4"/>
  <c r="T56" i="4"/>
  <c r="U56" i="4"/>
  <c r="W56" i="4"/>
  <c r="X56" i="4"/>
  <c r="Y56" i="4"/>
  <c r="Y60" i="4" s="1"/>
  <c r="Y64" i="4" s="1"/>
  <c r="M58" i="4"/>
  <c r="N58" i="4"/>
  <c r="Q58" i="4"/>
  <c r="V58" i="4"/>
  <c r="R60" i="4"/>
  <c r="R64" i="4" s="1"/>
  <c r="Q62" i="4" s="1"/>
  <c r="S60" i="4"/>
  <c r="W60" i="4"/>
  <c r="P62" i="4"/>
  <c r="U62" i="4"/>
  <c r="V62" i="4"/>
  <c r="S64" i="4"/>
  <c r="R62" i="4" s="1"/>
  <c r="L4" i="3"/>
  <c r="N4" i="3"/>
  <c r="N25" i="3" s="1"/>
  <c r="P4" i="3"/>
  <c r="R4" i="3"/>
  <c r="T4" i="3"/>
  <c r="T25" i="3" s="1"/>
  <c r="V4" i="3"/>
  <c r="V25" i="3" s="1"/>
  <c r="X4" i="3"/>
  <c r="Z4" i="3"/>
  <c r="AB4" i="3"/>
  <c r="AH4" i="3"/>
  <c r="AH25" i="3" s="1"/>
  <c r="AJ4" i="3"/>
  <c r="AL4" i="3"/>
  <c r="X5" i="3"/>
  <c r="X8" i="3" s="1"/>
  <c r="L7" i="3"/>
  <c r="L8" i="3" s="1"/>
  <c r="N7" i="3"/>
  <c r="P7" i="3"/>
  <c r="R7" i="3"/>
  <c r="R8" i="3" s="1"/>
  <c r="T7" i="3"/>
  <c r="T8" i="3" s="1"/>
  <c r="V7" i="3"/>
  <c r="X7" i="3"/>
  <c r="Z7" i="3"/>
  <c r="Z8" i="3" s="1"/>
  <c r="Z13" i="3" s="1"/>
  <c r="AB7" i="3"/>
  <c r="AB8" i="3" s="1"/>
  <c r="AB13" i="3" s="1"/>
  <c r="AH7" i="3"/>
  <c r="AJ7" i="3"/>
  <c r="P8" i="3"/>
  <c r="AJ8" i="3"/>
  <c r="L9" i="3"/>
  <c r="N9" i="3"/>
  <c r="P9" i="3"/>
  <c r="R9" i="3"/>
  <c r="T9" i="3"/>
  <c r="V9" i="3"/>
  <c r="Z9" i="3"/>
  <c r="AB9" i="3"/>
  <c r="AH9" i="3"/>
  <c r="AJ9" i="3"/>
  <c r="L10" i="3"/>
  <c r="N10" i="3"/>
  <c r="AH10" i="3"/>
  <c r="AJ10" i="3"/>
  <c r="L11" i="3"/>
  <c r="N11" i="3"/>
  <c r="P11" i="3"/>
  <c r="R11" i="3"/>
  <c r="T11" i="3"/>
  <c r="V11" i="3"/>
  <c r="L12" i="3"/>
  <c r="N12" i="3"/>
  <c r="P12" i="3"/>
  <c r="R12" i="3"/>
  <c r="T12" i="3"/>
  <c r="V12" i="3"/>
  <c r="Z12" i="3"/>
  <c r="AB12" i="3"/>
  <c r="AH12" i="3"/>
  <c r="AJ12" i="3"/>
  <c r="AD13" i="3"/>
  <c r="AF13" i="3"/>
  <c r="AJ13" i="3"/>
  <c r="AL13" i="3"/>
  <c r="L16" i="3"/>
  <c r="L18" i="3" s="1"/>
  <c r="N16" i="3"/>
  <c r="N18" i="3" s="1"/>
  <c r="P16" i="3"/>
  <c r="P40" i="3" s="1"/>
  <c r="R16" i="3"/>
  <c r="T16" i="3"/>
  <c r="V16" i="3"/>
  <c r="V18" i="3" s="1"/>
  <c r="X16" i="3"/>
  <c r="X18" i="3" s="1"/>
  <c r="Z16" i="3"/>
  <c r="AB16" i="3"/>
  <c r="AB18" i="3" s="1"/>
  <c r="AH16" i="3"/>
  <c r="AJ16" i="3"/>
  <c r="AJ18" i="3" s="1"/>
  <c r="R18" i="3"/>
  <c r="T18" i="3"/>
  <c r="Z18" i="3"/>
  <c r="AD18" i="3"/>
  <c r="AF18" i="3"/>
  <c r="AH18" i="3"/>
  <c r="AL18" i="3"/>
  <c r="AJ24" i="3"/>
  <c r="R25" i="3"/>
  <c r="AD25" i="3"/>
  <c r="X26" i="3"/>
  <c r="X31" i="3" s="1"/>
  <c r="X23" i="3" s="1"/>
  <c r="R27" i="3"/>
  <c r="T27" i="3"/>
  <c r="AL27" i="3"/>
  <c r="AL30" i="3" s="1"/>
  <c r="N29" i="3"/>
  <c r="N36" i="3" s="1"/>
  <c r="N37" i="3" s="1"/>
  <c r="P29" i="3"/>
  <c r="P36" i="3" s="1"/>
  <c r="P37" i="3" s="1"/>
  <c r="R29" i="3"/>
  <c r="R31" i="3" s="1"/>
  <c r="R23" i="3" s="1"/>
  <c r="T29" i="3"/>
  <c r="T36" i="3" s="1"/>
  <c r="T38" i="3" s="1"/>
  <c r="T24" i="3" s="1"/>
  <c r="V29" i="3"/>
  <c r="AD29" i="3"/>
  <c r="AL29" i="3"/>
  <c r="AL31" i="3" s="1"/>
  <c r="AL23" i="3" s="1"/>
  <c r="L30" i="3"/>
  <c r="N30" i="3"/>
  <c r="P30" i="3"/>
  <c r="V30" i="3"/>
  <c r="Z30" i="3"/>
  <c r="AB30" i="3"/>
  <c r="AD30" i="3"/>
  <c r="AF30" i="3"/>
  <c r="AH30" i="3"/>
  <c r="N31" i="3"/>
  <c r="N23" i="3" s="1"/>
  <c r="P31" i="3"/>
  <c r="P23" i="3" s="1"/>
  <c r="V31" i="3"/>
  <c r="V23" i="3" s="1"/>
  <c r="Z31" i="3"/>
  <c r="Z23" i="3" s="1"/>
  <c r="AB31" i="3"/>
  <c r="AB23" i="3" s="1"/>
  <c r="AD31" i="3"/>
  <c r="AD23" i="3" s="1"/>
  <c r="AF31" i="3"/>
  <c r="AF23" i="3" s="1"/>
  <c r="AH31" i="3"/>
  <c r="AH23" i="3" s="1"/>
  <c r="AJ31" i="3"/>
  <c r="AJ23" i="3" s="1"/>
  <c r="X33" i="3"/>
  <c r="X43" i="3" s="1"/>
  <c r="R34" i="3"/>
  <c r="T34" i="3"/>
  <c r="R35" i="3"/>
  <c r="V35" i="3"/>
  <c r="X35" i="3"/>
  <c r="V38" i="3" s="1"/>
  <c r="V24" i="3" s="1"/>
  <c r="Y35" i="3"/>
  <c r="Z35" i="3"/>
  <c r="AB35" i="3"/>
  <c r="AD35" i="3"/>
  <c r="AF35" i="3"/>
  <c r="AG35" i="3"/>
  <c r="AH35" i="3"/>
  <c r="AJ35" i="3"/>
  <c r="AJ38" i="3" s="1"/>
  <c r="X36" i="3"/>
  <c r="AL36" i="3"/>
  <c r="AL37" i="3" s="1"/>
  <c r="V37" i="3"/>
  <c r="Z37" i="3"/>
  <c r="AB37" i="3"/>
  <c r="AD37" i="3"/>
  <c r="AF37" i="3"/>
  <c r="AH37" i="3"/>
  <c r="AH24" i="3" s="1"/>
  <c r="AD38" i="3"/>
  <c r="AD24" i="3" s="1"/>
  <c r="Z40" i="3"/>
  <c r="AF40" i="3"/>
  <c r="AH40" i="3"/>
  <c r="AL40" i="3"/>
  <c r="L43" i="3"/>
  <c r="N43" i="3"/>
  <c r="P43" i="3"/>
  <c r="R43" i="3"/>
  <c r="T43" i="3"/>
  <c r="AL43" i="3"/>
  <c r="L44" i="3"/>
  <c r="J46" i="3" s="1"/>
  <c r="N44" i="3"/>
  <c r="P44" i="3"/>
  <c r="R44" i="3"/>
  <c r="T44" i="3"/>
  <c r="X44" i="3"/>
  <c r="V46" i="3" s="1"/>
  <c r="AL44" i="3"/>
  <c r="N45" i="3"/>
  <c r="P45" i="3"/>
  <c r="R45" i="3"/>
  <c r="X45" i="3"/>
  <c r="AL45" i="3"/>
  <c r="Z46" i="3"/>
  <c r="AH46" i="3"/>
  <c r="P13" i="3" l="1"/>
  <c r="AH38" i="3"/>
  <c r="AB38" i="3"/>
  <c r="AB24" i="3" s="1"/>
  <c r="T30" i="3"/>
  <c r="AB25" i="3"/>
  <c r="L25" i="3"/>
  <c r="N8" i="3"/>
  <c r="R36" i="3"/>
  <c r="R37" i="3" s="1"/>
  <c r="Z38" i="3"/>
  <c r="Z24" i="3" s="1"/>
  <c r="T31" i="3"/>
  <c r="T23" i="3" s="1"/>
  <c r="L31" i="3"/>
  <c r="L23" i="3" s="1"/>
  <c r="R30" i="3"/>
  <c r="Z25" i="3"/>
  <c r="AH8" i="3"/>
  <c r="AH13" i="3" s="1"/>
  <c r="T45" i="3"/>
  <c r="L45" i="3"/>
  <c r="AL46" i="3"/>
  <c r="AF38" i="3"/>
  <c r="AF24" i="3" s="1"/>
  <c r="V8" i="3"/>
  <c r="T40" i="3"/>
  <c r="T13" i="3"/>
  <c r="L13" i="3"/>
  <c r="L40" i="3"/>
  <c r="R13" i="3"/>
  <c r="R40" i="3"/>
  <c r="X40" i="3"/>
  <c r="X25" i="3" s="1"/>
  <c r="X13" i="3"/>
  <c r="AJ25" i="3"/>
  <c r="P25" i="3"/>
  <c r="P18" i="3"/>
  <c r="L60" i="4"/>
  <c r="N60" i="4"/>
  <c r="U64" i="4"/>
  <c r="V60" i="4"/>
  <c r="V64" i="4" s="1"/>
  <c r="P60" i="4"/>
  <c r="P64" i="4" s="1"/>
  <c r="Q29" i="4"/>
  <c r="Q60" i="4" s="1"/>
  <c r="Q64" i="4" s="1"/>
  <c r="Q43" i="4"/>
  <c r="N46" i="3"/>
  <c r="V49" i="4"/>
  <c r="Q24" i="4"/>
  <c r="V24" i="4"/>
  <c r="V29" i="4" s="1"/>
  <c r="T46" i="3"/>
  <c r="L46" i="3"/>
  <c r="P46" i="3"/>
  <c r="T37" i="3"/>
  <c r="P38" i="3"/>
  <c r="P24" i="3" s="1"/>
  <c r="R46" i="3"/>
  <c r="X46" i="3"/>
  <c r="L37" i="3"/>
  <c r="X38" i="3"/>
  <c r="X24" i="3" s="1"/>
  <c r="N38" i="3"/>
  <c r="N24" i="3" s="1"/>
  <c r="X37" i="3"/>
  <c r="X30" i="3"/>
  <c r="R38" i="3" l="1"/>
  <c r="R24" i="3" s="1"/>
  <c r="N13" i="3"/>
  <c r="N40" i="3"/>
  <c r="V13" i="3"/>
  <c r="V40" i="3"/>
  <c r="N64" i="4"/>
  <c r="M62" i="4" s="1"/>
  <c r="M64" i="4" s="1"/>
  <c r="L62" i="4" s="1"/>
  <c r="L64" i="4" s="1"/>
  <c r="K62" i="4"/>
  <c r="K64" i="4" s="1"/>
  <c r="O62" i="4"/>
  <c r="O64" i="4" s="1"/>
  <c r="N62" i="4" s="1"/>
  <c r="J62" i="4" l="1"/>
  <c r="J64" i="4" s="1"/>
  <c r="I62" i="4" s="1"/>
  <c r="I64" i="4" s="1"/>
</calcChain>
</file>

<file path=xl/sharedStrings.xml><?xml version="1.0" encoding="utf-8"?>
<sst xmlns="http://schemas.openxmlformats.org/spreadsheetml/2006/main" count="184" uniqueCount="177">
  <si>
    <t>COGS</t>
  </si>
  <si>
    <t>Inventory(Gross)</t>
  </si>
  <si>
    <t>Revenue(Net Sales)</t>
    <phoneticPr fontId="1" type="noConversion"/>
  </si>
  <si>
    <t>A/P</t>
    <phoneticPr fontId="1" type="noConversion"/>
  </si>
  <si>
    <t>A/R(Gross)</t>
    <phoneticPr fontId="1" type="noConversion"/>
  </si>
  <si>
    <t>Days of the Quarter</t>
    <phoneticPr fontId="1" type="noConversion"/>
  </si>
  <si>
    <t>Current Ratio</t>
    <phoneticPr fontId="1" type="noConversion"/>
  </si>
  <si>
    <t>A/P Turnover Days</t>
    <phoneticPr fontId="1" type="noConversion"/>
  </si>
  <si>
    <t>營業收入淨額</t>
  </si>
  <si>
    <t>銷貨成本</t>
  </si>
  <si>
    <t>銷貨毛利</t>
  </si>
  <si>
    <t>營業費用</t>
  </si>
  <si>
    <t>　　推銷費用</t>
  </si>
  <si>
    <t>　　管理費用</t>
  </si>
  <si>
    <t>　　研發費用</t>
  </si>
  <si>
    <t>營業費用合計</t>
  </si>
  <si>
    <t>2013年第一季</t>
    <phoneticPr fontId="1" type="noConversion"/>
  </si>
  <si>
    <t>2012年第一季</t>
    <phoneticPr fontId="1" type="noConversion"/>
  </si>
  <si>
    <t>2013年第二季</t>
    <phoneticPr fontId="1" type="noConversion"/>
  </si>
  <si>
    <t>2012年第二季</t>
    <phoneticPr fontId="1" type="noConversion"/>
  </si>
  <si>
    <t>2013年第三季</t>
    <phoneticPr fontId="1" type="noConversion"/>
  </si>
  <si>
    <t>2012年第三季</t>
    <phoneticPr fontId="1" type="noConversion"/>
  </si>
  <si>
    <t>2012年第四季</t>
    <phoneticPr fontId="1" type="noConversion"/>
  </si>
  <si>
    <t>2013年第四季</t>
    <phoneticPr fontId="1" type="noConversion"/>
  </si>
  <si>
    <t>2013年全年</t>
    <phoneticPr fontId="1" type="noConversion"/>
  </si>
  <si>
    <t>2012年第四季</t>
    <phoneticPr fontId="1" type="noConversion"/>
  </si>
  <si>
    <t>A/R(Net)</t>
    <phoneticPr fontId="1" type="noConversion"/>
  </si>
  <si>
    <t>A/R Turnover Days(Gross)</t>
    <phoneticPr fontId="1" type="noConversion"/>
  </si>
  <si>
    <t>A/R Turnover Days(Net)</t>
    <phoneticPr fontId="1" type="noConversion"/>
  </si>
  <si>
    <t xml:space="preserve">Inventory Turnover Days (Gross) </t>
    <phoneticPr fontId="1" type="noConversion"/>
  </si>
  <si>
    <t>Inventory Turnover Days (net)</t>
    <phoneticPr fontId="1" type="noConversion"/>
  </si>
  <si>
    <t>Inventory(net)</t>
    <phoneticPr fontId="1" type="noConversion"/>
  </si>
  <si>
    <t>2014年第一季</t>
    <phoneticPr fontId="1" type="noConversion"/>
  </si>
  <si>
    <t>2014年第二季</t>
    <phoneticPr fontId="1" type="noConversion"/>
  </si>
  <si>
    <t>2014年第三季</t>
    <phoneticPr fontId="1" type="noConversion"/>
  </si>
  <si>
    <t>2014年全年</t>
    <phoneticPr fontId="1" type="noConversion"/>
  </si>
  <si>
    <t>2014年第四季</t>
    <phoneticPr fontId="1" type="noConversion"/>
  </si>
  <si>
    <t>2015年第二季</t>
    <phoneticPr fontId="1" type="noConversion"/>
  </si>
  <si>
    <t>2015年第四季</t>
    <phoneticPr fontId="1" type="noConversion"/>
  </si>
  <si>
    <t>2015年全年</t>
    <phoneticPr fontId="1" type="noConversion"/>
  </si>
  <si>
    <t>n/a</t>
    <phoneticPr fontId="1" type="noConversion"/>
  </si>
  <si>
    <t>n/a</t>
    <phoneticPr fontId="1" type="noConversion"/>
  </si>
  <si>
    <t>n/a</t>
    <phoneticPr fontId="1" type="noConversion"/>
  </si>
  <si>
    <t>(單位: 新台幣仟元；除每股盈餘外)</t>
    <phoneticPr fontId="1" type="noConversion"/>
  </si>
  <si>
    <t>YoY</t>
    <phoneticPr fontId="1" type="noConversion"/>
  </si>
  <si>
    <t>營業淨利 (損)</t>
    <phoneticPr fontId="1" type="noConversion"/>
  </si>
  <si>
    <t>營業外收入及支出</t>
    <phoneticPr fontId="1" type="noConversion"/>
  </si>
  <si>
    <t>稅前淨利 (損)</t>
    <phoneticPr fontId="1" type="noConversion"/>
  </si>
  <si>
    <t>所得稅利益 (費用)</t>
    <phoneticPr fontId="1" type="noConversion"/>
  </si>
  <si>
    <t>本期淨利 (損)</t>
    <phoneticPr fontId="1" type="noConversion"/>
  </si>
  <si>
    <t>2015年第一季</t>
    <phoneticPr fontId="1" type="noConversion"/>
  </si>
  <si>
    <t>2016年第一季</t>
    <phoneticPr fontId="1" type="noConversion"/>
  </si>
  <si>
    <t>(Amounts in thousand New Taiwan Dollars except Earnings Per Share)</t>
    <phoneticPr fontId="1" type="noConversion"/>
  </si>
  <si>
    <t>4Q15</t>
    <phoneticPr fontId="1" type="noConversion"/>
  </si>
  <si>
    <t>3Q15</t>
    <phoneticPr fontId="1" type="noConversion"/>
  </si>
  <si>
    <t>1Q15</t>
    <phoneticPr fontId="1" type="noConversion"/>
  </si>
  <si>
    <t>4Q14</t>
    <phoneticPr fontId="1" type="noConversion"/>
  </si>
  <si>
    <t>3Q14</t>
    <phoneticPr fontId="1" type="noConversion"/>
  </si>
  <si>
    <t>2Q14</t>
    <phoneticPr fontId="1" type="noConversion"/>
  </si>
  <si>
    <t>1Q14</t>
    <phoneticPr fontId="1" type="noConversion"/>
  </si>
  <si>
    <t>4Q13</t>
    <phoneticPr fontId="1" type="noConversion"/>
  </si>
  <si>
    <t>3Q13</t>
    <phoneticPr fontId="1" type="noConversion"/>
  </si>
  <si>
    <t>2Q13</t>
    <phoneticPr fontId="1" type="noConversion"/>
  </si>
  <si>
    <t>1Q13</t>
    <phoneticPr fontId="1" type="noConversion"/>
  </si>
  <si>
    <t>4Q12</t>
    <phoneticPr fontId="1" type="noConversion"/>
  </si>
  <si>
    <t>3Q12</t>
    <phoneticPr fontId="1" type="noConversion"/>
  </si>
  <si>
    <t>2Q12</t>
    <phoneticPr fontId="1" type="noConversion"/>
  </si>
  <si>
    <t>1Q12</t>
    <phoneticPr fontId="1" type="noConversion"/>
  </si>
  <si>
    <t>4Q11</t>
    <phoneticPr fontId="1" type="noConversion"/>
  </si>
  <si>
    <t>3Q11</t>
    <phoneticPr fontId="1" type="noConversion"/>
  </si>
  <si>
    <t>2Q11</t>
    <phoneticPr fontId="1" type="noConversion"/>
  </si>
  <si>
    <t>1Q11</t>
    <phoneticPr fontId="1" type="noConversion"/>
  </si>
  <si>
    <t>4Q10</t>
    <phoneticPr fontId="1" type="noConversion"/>
  </si>
  <si>
    <t>3Q10</t>
    <phoneticPr fontId="1" type="noConversion"/>
  </si>
  <si>
    <t>2Q10</t>
    <phoneticPr fontId="1" type="noConversion"/>
  </si>
  <si>
    <t>1Q10</t>
    <phoneticPr fontId="1" type="noConversion"/>
  </si>
  <si>
    <t>QoQ</t>
    <phoneticPr fontId="1" type="noConversion"/>
  </si>
  <si>
    <t>YoY</t>
    <phoneticPr fontId="1" type="noConversion"/>
  </si>
  <si>
    <t>Net sales</t>
    <phoneticPr fontId="1" type="noConversion"/>
  </si>
  <si>
    <t>Cost of goods sold</t>
    <phoneticPr fontId="1" type="noConversion"/>
  </si>
  <si>
    <t>Gross profits</t>
    <phoneticPr fontId="1" type="noConversion"/>
  </si>
  <si>
    <t>Operating expenses</t>
    <phoneticPr fontId="1" type="noConversion"/>
  </si>
  <si>
    <r>
      <rPr>
        <sz val="12"/>
        <rFont val="新細明體"/>
        <family val="1"/>
        <charset val="136"/>
      </rPr>
      <t>　</t>
    </r>
    <r>
      <rPr>
        <sz val="12"/>
        <rFont val="Calibri"/>
        <family val="2"/>
      </rPr>
      <t>Selling expenses</t>
    </r>
    <phoneticPr fontId="1" type="noConversion"/>
  </si>
  <si>
    <r>
      <rPr>
        <sz val="12"/>
        <rFont val="新細明體"/>
        <family val="1"/>
        <charset val="136"/>
      </rPr>
      <t>　</t>
    </r>
    <r>
      <rPr>
        <sz val="12"/>
        <rFont val="Calibri"/>
        <family val="2"/>
      </rPr>
      <t>Administrative expenses</t>
    </r>
    <phoneticPr fontId="1" type="noConversion"/>
  </si>
  <si>
    <r>
      <rPr>
        <sz val="12"/>
        <rFont val="新細明體"/>
        <family val="1"/>
        <charset val="136"/>
      </rPr>
      <t>　</t>
    </r>
    <r>
      <rPr>
        <sz val="12"/>
        <rFont val="Calibri"/>
        <family val="2"/>
      </rPr>
      <t>Research and development expenses</t>
    </r>
    <phoneticPr fontId="1" type="noConversion"/>
  </si>
  <si>
    <t>Total operating expenses</t>
    <phoneticPr fontId="1" type="noConversion"/>
  </si>
  <si>
    <t>Operating income (loss)</t>
    <phoneticPr fontId="1" type="noConversion"/>
  </si>
  <si>
    <r>
      <t xml:space="preserve">Non-operating income and gain </t>
    </r>
    <r>
      <rPr>
        <sz val="11"/>
        <rFont val="Calibri"/>
        <family val="2"/>
      </rPr>
      <t>(expense &amp; loss)</t>
    </r>
    <phoneticPr fontId="1" type="noConversion"/>
  </si>
  <si>
    <t>Income (loss) before income tax</t>
    <phoneticPr fontId="1" type="noConversion"/>
  </si>
  <si>
    <t>Income tax (expense)benefit</t>
    <phoneticPr fontId="1" type="noConversion"/>
  </si>
  <si>
    <t>Net income (loss)</t>
    <phoneticPr fontId="1" type="noConversion"/>
  </si>
  <si>
    <r>
      <rPr>
        <b/>
        <sz val="12"/>
        <rFont val="Calibri"/>
        <family val="2"/>
      </rPr>
      <t>Earnings Per Share</t>
    </r>
    <r>
      <rPr>
        <sz val="12"/>
        <rFont val="Calibri"/>
        <family val="2"/>
      </rPr>
      <t xml:space="preserve"> </t>
    </r>
    <r>
      <rPr>
        <sz val="10"/>
        <rFont val="Calibri"/>
        <family val="2"/>
      </rPr>
      <t>(in New Taiwan Dollars)</t>
    </r>
    <phoneticPr fontId="1" type="noConversion"/>
  </si>
  <si>
    <t>(Amounts in thousand New Taiwan Dollars except Key Indics)</t>
    <phoneticPr fontId="1" type="noConversion"/>
  </si>
  <si>
    <t xml:space="preserve">      Cash, cash equivalents and investments in 
      marketable financial instruments</t>
    <phoneticPr fontId="1" type="noConversion"/>
  </si>
  <si>
    <t xml:space="preserve">      Notes and accounts receivable</t>
    <phoneticPr fontId="1" type="noConversion"/>
  </si>
  <si>
    <t xml:space="preserve">      Inventory (net)</t>
    <phoneticPr fontId="1" type="noConversion"/>
  </si>
  <si>
    <t xml:space="preserve">      Other current asset</t>
    <phoneticPr fontId="1" type="noConversion"/>
  </si>
  <si>
    <t xml:space="preserve">      Intangible assets</t>
  </si>
  <si>
    <t xml:space="preserve">      Other assets </t>
  </si>
  <si>
    <t xml:space="preserve">Total assets </t>
  </si>
  <si>
    <t xml:space="preserve">      Notes &amp; accounts payable</t>
  </si>
  <si>
    <t xml:space="preserve">      Other current liabilities</t>
  </si>
  <si>
    <t xml:space="preserve">      Non-current liabilities</t>
    <phoneticPr fontId="1" type="noConversion"/>
  </si>
  <si>
    <t>Total liabilities</t>
  </si>
  <si>
    <t>Total shareholders' equity</t>
  </si>
  <si>
    <t>Key Indices</t>
  </si>
  <si>
    <t xml:space="preserve">      A/R Turnover Days</t>
  </si>
  <si>
    <t xml:space="preserve">      Inventory Turnover Days</t>
  </si>
  <si>
    <t xml:space="preserve">      Current Ratio</t>
  </si>
  <si>
    <t xml:space="preserve">      Total current asset</t>
    <phoneticPr fontId="1" type="noConversion"/>
  </si>
  <si>
    <t xml:space="preserve">      Long-term investments</t>
    <phoneticPr fontId="1" type="noConversion"/>
  </si>
  <si>
    <t xml:space="preserve">      Net PP&amp;E</t>
    <phoneticPr fontId="1" type="noConversion"/>
  </si>
  <si>
    <t>Selected Items from Balance Sheet</t>
    <phoneticPr fontId="1" type="noConversion"/>
  </si>
  <si>
    <t>(Amounts in thousand New Taiwan Dollars)</t>
    <phoneticPr fontId="1" type="noConversion"/>
  </si>
  <si>
    <t>Cash flows from (used in) operating activities:</t>
  </si>
  <si>
    <t xml:space="preserve">    Profit (loss) before tax</t>
  </si>
  <si>
    <t xml:space="preserve">       Adjustments to reconcile profit (loss):</t>
    <phoneticPr fontId="1" type="noConversion"/>
  </si>
  <si>
    <t xml:space="preserve">    Depreciation expense</t>
  </si>
  <si>
    <t xml:space="preserve">    Amortization expense</t>
  </si>
  <si>
    <t xml:space="preserve">    Loss on uncollectible accounts</t>
    <phoneticPr fontId="1" type="noConversion"/>
  </si>
  <si>
    <t xml:space="preserve">    Net loss (gain) on financial assets or liabilities at fair value through profit or loss</t>
    <phoneticPr fontId="1" type="noConversion"/>
  </si>
  <si>
    <t xml:space="preserve">    Interest expense</t>
    <phoneticPr fontId="1" type="noConversion"/>
  </si>
  <si>
    <t xml:space="preserve">    Interest income</t>
  </si>
  <si>
    <t xml:space="preserve">    Dividend income</t>
    <phoneticPr fontId="1" type="noConversion"/>
  </si>
  <si>
    <t xml:space="preserve">    Share-based payments</t>
  </si>
  <si>
    <t xml:space="preserve">    Share of loss (profit) of associates and joint ventures accounted for using equity method</t>
    <phoneticPr fontId="1" type="noConversion"/>
  </si>
  <si>
    <t xml:space="preserve">    Loss (gain) on disposal of property, plan and equipment</t>
  </si>
  <si>
    <t xml:space="preserve">    Property, plant and equipment transferred to income</t>
    <phoneticPr fontId="1" type="noConversion"/>
  </si>
  <si>
    <t xml:space="preserve">    Loss (gain) on disposal of investments</t>
  </si>
  <si>
    <t xml:space="preserve">    Impairment of financial assets</t>
    <phoneticPr fontId="1" type="noConversion"/>
  </si>
  <si>
    <t xml:space="preserve">    Impairment of non-financial assets</t>
    <phoneticPr fontId="1" type="noConversion"/>
  </si>
  <si>
    <t xml:space="preserve">    Unrealized foreign currency exchange loss (gain) </t>
    <phoneticPr fontId="1" type="noConversion"/>
  </si>
  <si>
    <t xml:space="preserve">    Gains/ (loss) on sale of intangible assets</t>
    <phoneticPr fontId="1" type="noConversion"/>
  </si>
  <si>
    <t xml:space="preserve">    Changes in operating assets and liabilities</t>
    <phoneticPr fontId="1" type="noConversion"/>
  </si>
  <si>
    <t>Cash inflow (outflow) generated from operations:</t>
    <phoneticPr fontId="1" type="noConversion"/>
  </si>
  <si>
    <t xml:space="preserve">     Interest  received</t>
    <phoneticPr fontId="1" type="noConversion"/>
  </si>
  <si>
    <t xml:space="preserve">      Dividend received</t>
    <phoneticPr fontId="1" type="noConversion"/>
  </si>
  <si>
    <t xml:space="preserve">     Interest paid</t>
    <phoneticPr fontId="1" type="noConversion"/>
  </si>
  <si>
    <t xml:space="preserve">     Income taxes refund (paid)</t>
    <phoneticPr fontId="1" type="noConversion"/>
  </si>
  <si>
    <t>Net cash flows from (used in) operating activities</t>
  </si>
  <si>
    <t>Cash flows from (used in) investing activities:</t>
  </si>
  <si>
    <t xml:space="preserve">     Acquisition of available-for-sale financial assets</t>
    <phoneticPr fontId="1" type="noConversion"/>
  </si>
  <si>
    <t xml:space="preserve">     Proceeds from disposal of available-for-sale financial assets</t>
    <phoneticPr fontId="1" type="noConversion"/>
  </si>
  <si>
    <t xml:space="preserve">     Acquisition of bond investments without active market</t>
    <phoneticPr fontId="1" type="noConversion"/>
  </si>
  <si>
    <t xml:space="preserve">      Proceeds from bond investments without active market</t>
    <phoneticPr fontId="1" type="noConversion"/>
  </si>
  <si>
    <t xml:space="preserve">     Acquisition of financial assets carried at cost </t>
    <phoneticPr fontId="1" type="noConversion"/>
  </si>
  <si>
    <t xml:space="preserve">     Acquisition of held-to-maturity instruments</t>
    <phoneticPr fontId="1" type="noConversion"/>
  </si>
  <si>
    <t xml:space="preserve">     Acquisition of investments accounted for using equity method</t>
    <phoneticPr fontId="1" type="noConversion"/>
  </si>
  <si>
    <t xml:space="preserve">     Acquisition of a subsidiary</t>
    <phoneticPr fontId="1" type="noConversion"/>
  </si>
  <si>
    <t xml:space="preserve">     Acquisition of property, plant and equipment</t>
    <phoneticPr fontId="1" type="noConversion"/>
  </si>
  <si>
    <t xml:space="preserve">     Proceeds from disposal of property, plant and equipment</t>
    <phoneticPr fontId="1" type="noConversion"/>
  </si>
  <si>
    <t xml:space="preserve">     Decrease (Increase) in refundable deposits    </t>
    <phoneticPr fontId="1" type="noConversion"/>
  </si>
  <si>
    <t xml:space="preserve">     Acquisition of intangible assets</t>
    <phoneticPr fontId="1" type="noConversion"/>
  </si>
  <si>
    <t xml:space="preserve">     Proceeds from disposal of intangible assets</t>
    <phoneticPr fontId="1" type="noConversion"/>
  </si>
  <si>
    <t xml:space="preserve">     Decrease (Increase) in prepayments for business facilities</t>
    <phoneticPr fontId="1" type="noConversion"/>
  </si>
  <si>
    <t xml:space="preserve">     Proceeds from sale of other assets</t>
    <phoneticPr fontId="1" type="noConversion"/>
  </si>
  <si>
    <t>Net cash flows from (used in) investing activities:</t>
  </si>
  <si>
    <t>Net cash flows from (used in) financing activities:</t>
    <phoneticPr fontId="1" type="noConversion"/>
  </si>
  <si>
    <t xml:space="preserve">     Decrease (Increase) in guarantee deposits </t>
    <phoneticPr fontId="1" type="noConversion"/>
  </si>
  <si>
    <t xml:space="preserve">     Cash dividends paid for common stock</t>
    <phoneticPr fontId="1" type="noConversion"/>
  </si>
  <si>
    <t xml:space="preserve">     Payments to acquire treasury stock</t>
    <phoneticPr fontId="1" type="noConversion"/>
  </si>
  <si>
    <t xml:space="preserve">     Treasury shares sold to employees</t>
    <phoneticPr fontId="1" type="noConversion"/>
  </si>
  <si>
    <t>Effect of exchange rate changes on cash and cash equivalents</t>
  </si>
  <si>
    <t>Net increase (decrease) in cash and cash equivalents</t>
  </si>
  <si>
    <t>Cash and cash equivalents at beginning of period</t>
  </si>
  <si>
    <t>Cash and cash equivalents at end of period</t>
  </si>
  <si>
    <t>n/a</t>
  </si>
  <si>
    <t xml:space="preserve">    Expected Credit Losses
</t>
    <phoneticPr fontId="1" type="noConversion"/>
  </si>
  <si>
    <t>1Q18</t>
    <phoneticPr fontId="1" type="noConversion"/>
  </si>
  <si>
    <t>4Q17</t>
    <phoneticPr fontId="1" type="noConversion"/>
  </si>
  <si>
    <t>1Q17</t>
    <phoneticPr fontId="1" type="noConversion"/>
  </si>
  <si>
    <t>1Q18</t>
    <phoneticPr fontId="1" type="noConversion"/>
  </si>
  <si>
    <t>4Q17</t>
    <phoneticPr fontId="1" type="noConversion"/>
  </si>
  <si>
    <t>1Q17</t>
    <phoneticPr fontId="1" type="noConversion"/>
  </si>
  <si>
    <t xml:space="preserve">     Expected Credit Losses</t>
    <phoneticPr fontId="1" type="noConversion"/>
  </si>
  <si>
    <t xml:space="preserve">      Proceeds from financial assets carried at cost</t>
    <phoneticPr fontId="1" type="noConversion"/>
  </si>
  <si>
    <t xml:space="preserve">      Proceeds from held-to-maturity instruments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</si>
</sst>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* #,##0_-;_-* &quot;-&quot;??_-;_-@_-"/>
    <numFmt numFmtId="177" formatCode="0.00_);[Red]\(0.00\)"/>
    <numFmt numFmtId="178" formatCode="0_);[Red]\(0\)"/>
    <numFmt numFmtId="179" formatCode="0.0_);[Red]\(0.0\)"/>
    <numFmt numFmtId="180" formatCode="#,##0_);[Red]\(#,##0\)"/>
    <numFmt numFmtId="181" formatCode="_-* #,##0.0_-;\-* #,##0.0_-;_-* &quot;-&quot;??_-;_-@_-"/>
    <numFmt numFmtId="182" formatCode="#,##0_);\(#,##0\)"/>
    <numFmt numFmtId="183" formatCode="###0%;[Red]\-###0%"/>
    <numFmt numFmtId="184" formatCode="0.0%"/>
    <numFmt numFmtId="185" formatCode="#,##0.00_);\(#,##0.00\)"/>
    <numFmt numFmtId="186" formatCode="0.00_);\(0.00\)"/>
  </numFmts>
  <fonts count="22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sz val="12"/>
      <color indexed="8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10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rgb="FFFF0000"/>
      <name val="Calibri"/>
      <family val="2"/>
    </font>
    <font>
      <i/>
      <sz val="9"/>
      <name val="微軟正黑體"/>
      <family val="2"/>
      <charset val="136"/>
    </font>
    <font>
      <sz val="12"/>
      <name val="新細明體"/>
      <family val="1"/>
      <charset val="136"/>
    </font>
    <font>
      <i/>
      <sz val="9"/>
      <color rgb="FF237763"/>
      <name val="Calibri"/>
      <family val="2"/>
    </font>
    <font>
      <sz val="12"/>
      <color theme="0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7" fillId="0" borderId="0"/>
    <xf numFmtId="0" fontId="7" fillId="0" borderId="0"/>
    <xf numFmtId="0" fontId="14" fillId="0" borderId="0">
      <alignment vertical="center"/>
    </xf>
    <xf numFmtId="0" fontId="8" fillId="0" borderId="0"/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17">
    <xf numFmtId="0" fontId="0" fillId="0" borderId="0" xfId="0">
      <alignment vertical="center"/>
    </xf>
    <xf numFmtId="0" fontId="3" fillId="0" borderId="2" xfId="0" applyFont="1" applyFill="1" applyBorder="1">
      <alignment vertical="center"/>
    </xf>
    <xf numFmtId="9" fontId="3" fillId="0" borderId="2" xfId="0" applyNumberFormat="1" applyFont="1" applyFill="1" applyBorder="1">
      <alignment vertical="center"/>
    </xf>
    <xf numFmtId="182" fontId="3" fillId="0" borderId="2" xfId="5" applyNumberFormat="1" applyFont="1" applyFill="1" applyBorder="1">
      <alignment vertical="center"/>
    </xf>
    <xf numFmtId="9" fontId="3" fillId="0" borderId="2" xfId="6" applyNumberFormat="1" applyFont="1" applyFill="1" applyBorder="1">
      <alignment vertical="center"/>
    </xf>
    <xf numFmtId="177" fontId="3" fillId="0" borderId="2" xfId="5" applyNumberFormat="1" applyFont="1" applyFill="1" applyBorder="1">
      <alignment vertical="center"/>
    </xf>
    <xf numFmtId="9" fontId="3" fillId="0" borderId="2" xfId="5" applyNumberFormat="1" applyFont="1" applyFill="1" applyBorder="1">
      <alignment vertical="center"/>
    </xf>
    <xf numFmtId="182" fontId="3" fillId="0" borderId="3" xfId="5" applyNumberFormat="1" applyFont="1" applyFill="1" applyBorder="1">
      <alignment vertical="center"/>
    </xf>
    <xf numFmtId="177" fontId="3" fillId="0" borderId="3" xfId="5" applyNumberFormat="1" applyFont="1" applyFill="1" applyBorder="1">
      <alignment vertical="center"/>
    </xf>
    <xf numFmtId="182" fontId="3" fillId="0" borderId="4" xfId="5" applyNumberFormat="1" applyFont="1" applyFill="1" applyBorder="1">
      <alignment vertical="center"/>
    </xf>
    <xf numFmtId="0" fontId="3" fillId="0" borderId="3" xfId="0" applyFont="1" applyFill="1" applyBorder="1">
      <alignment vertical="center"/>
    </xf>
    <xf numFmtId="177" fontId="3" fillId="0" borderId="4" xfId="5" applyNumberFormat="1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176" fontId="5" fillId="2" borderId="2" xfId="5" applyNumberFormat="1" applyFont="1" applyFill="1" applyBorder="1">
      <alignment vertical="center"/>
    </xf>
    <xf numFmtId="0" fontId="5" fillId="2" borderId="5" xfId="0" applyFont="1" applyFill="1" applyBorder="1">
      <alignment vertical="center"/>
    </xf>
    <xf numFmtId="176" fontId="5" fillId="2" borderId="5" xfId="5" applyNumberFormat="1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180" fontId="3" fillId="2" borderId="7" xfId="0" applyNumberFormat="1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176" fontId="5" fillId="2" borderId="0" xfId="5" applyNumberFormat="1" applyFont="1" applyFill="1" applyBorder="1">
      <alignment vertical="center"/>
    </xf>
    <xf numFmtId="176" fontId="6" fillId="2" borderId="0" xfId="5" applyNumberFormat="1" applyFont="1" applyFill="1" applyBorder="1">
      <alignment vertical="center"/>
    </xf>
    <xf numFmtId="9" fontId="15" fillId="0" borderId="2" xfId="6" applyNumberFormat="1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176" fontId="5" fillId="2" borderId="6" xfId="5" applyNumberFormat="1" applyFont="1" applyFill="1" applyBorder="1">
      <alignment vertical="center"/>
    </xf>
    <xf numFmtId="176" fontId="5" fillId="2" borderId="0" xfId="5" applyNumberFormat="1" applyFont="1" applyFill="1" applyBorder="1" applyAlignment="1">
      <alignment horizontal="right" vertical="center"/>
    </xf>
    <xf numFmtId="181" fontId="5" fillId="2" borderId="0" xfId="5" applyNumberFormat="1" applyFont="1" applyFill="1" applyBorder="1" applyAlignment="1">
      <alignment horizontal="right" vertical="center"/>
    </xf>
    <xf numFmtId="176" fontId="5" fillId="2" borderId="8" xfId="5" applyNumberFormat="1" applyFont="1" applyFill="1" applyBorder="1">
      <alignment vertical="center"/>
    </xf>
    <xf numFmtId="176" fontId="5" fillId="2" borderId="7" xfId="5" applyNumberFormat="1" applyFont="1" applyFill="1" applyBorder="1">
      <alignment vertical="center"/>
    </xf>
    <xf numFmtId="176" fontId="5" fillId="2" borderId="9" xfId="5" applyNumberFormat="1" applyFont="1" applyFill="1" applyBorder="1">
      <alignment vertical="center"/>
    </xf>
    <xf numFmtId="176" fontId="5" fillId="2" borderId="10" xfId="5" applyNumberFormat="1" applyFont="1" applyFill="1" applyBorder="1">
      <alignment vertical="center"/>
    </xf>
    <xf numFmtId="176" fontId="6" fillId="2" borderId="11" xfId="5" applyNumberFormat="1" applyFont="1" applyFill="1" applyBorder="1">
      <alignment vertical="center"/>
    </xf>
    <xf numFmtId="176" fontId="5" fillId="2" borderId="12" xfId="5" applyNumberFormat="1" applyFont="1" applyFill="1" applyBorder="1">
      <alignment vertical="center"/>
    </xf>
    <xf numFmtId="176" fontId="6" fillId="2" borderId="13" xfId="5" applyNumberFormat="1" applyFont="1" applyFill="1" applyBorder="1">
      <alignment vertical="center"/>
    </xf>
    <xf numFmtId="176" fontId="5" fillId="2" borderId="6" xfId="0" applyNumberFormat="1" applyFont="1" applyFill="1" applyBorder="1">
      <alignment vertical="center"/>
    </xf>
    <xf numFmtId="178" fontId="5" fillId="2" borderId="7" xfId="5" applyNumberFormat="1" applyFont="1" applyFill="1" applyBorder="1" applyAlignment="1">
      <alignment horizontal="right" vertical="center"/>
    </xf>
    <xf numFmtId="179" fontId="5" fillId="2" borderId="7" xfId="5" applyNumberFormat="1" applyFont="1" applyFill="1" applyBorder="1" applyAlignment="1">
      <alignment horizontal="right" vertical="center"/>
    </xf>
    <xf numFmtId="176" fontId="5" fillId="2" borderId="6" xfId="5" applyNumberFormat="1" applyFont="1" applyFill="1" applyBorder="1" applyAlignment="1">
      <alignment horizontal="right" vertical="center"/>
    </xf>
    <xf numFmtId="181" fontId="5" fillId="2" borderId="6" xfId="5" applyNumberFormat="1" applyFont="1" applyFill="1" applyBorder="1" applyAlignment="1">
      <alignment horizontal="right" vertical="center"/>
    </xf>
    <xf numFmtId="176" fontId="6" fillId="2" borderId="14" xfId="5" applyNumberFormat="1" applyFont="1" applyFill="1" applyBorder="1">
      <alignment vertical="center"/>
    </xf>
    <xf numFmtId="176" fontId="5" fillId="2" borderId="7" xfId="0" applyNumberFormat="1" applyFont="1" applyFill="1" applyBorder="1">
      <alignment vertical="center"/>
    </xf>
    <xf numFmtId="176" fontId="5" fillId="2" borderId="7" xfId="5" applyNumberFormat="1" applyFont="1" applyFill="1" applyBorder="1" applyAlignment="1">
      <alignment horizontal="right" vertical="center"/>
    </xf>
    <xf numFmtId="181" fontId="5" fillId="2" borderId="7" xfId="5" applyNumberFormat="1" applyFont="1" applyFill="1" applyBorder="1" applyAlignment="1">
      <alignment horizontal="right" vertical="center"/>
    </xf>
    <xf numFmtId="176" fontId="6" fillId="2" borderId="1" xfId="5" applyNumberFormat="1" applyFont="1" applyFill="1" applyBorder="1">
      <alignment vertical="center"/>
    </xf>
    <xf numFmtId="179" fontId="5" fillId="2" borderId="6" xfId="5" applyNumberFormat="1" applyFont="1" applyFill="1" applyBorder="1" applyAlignment="1">
      <alignment horizontal="right" vertical="center"/>
    </xf>
    <xf numFmtId="178" fontId="5" fillId="2" borderId="0" xfId="5" applyNumberFormat="1" applyFont="1" applyFill="1" applyBorder="1" applyAlignment="1">
      <alignment horizontal="right" vertical="center"/>
    </xf>
    <xf numFmtId="179" fontId="5" fillId="2" borderId="0" xfId="5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0" borderId="2" xfId="0" applyFont="1" applyFill="1" applyBorder="1" applyAlignment="1"/>
    <xf numFmtId="0" fontId="11" fillId="2" borderId="7" xfId="0" applyFont="1" applyFill="1" applyBorder="1">
      <alignment vertical="center"/>
    </xf>
    <xf numFmtId="31" fontId="12" fillId="2" borderId="15" xfId="0" applyNumberFormat="1" applyFont="1" applyFill="1" applyBorder="1" applyAlignment="1">
      <alignment horizontal="center" vertical="center"/>
    </xf>
    <xf numFmtId="37" fontId="13" fillId="0" borderId="2" xfId="4" applyNumberFormat="1" applyFont="1" applyFill="1" applyBorder="1" applyAlignment="1" applyProtection="1">
      <alignment horizontal="left"/>
    </xf>
    <xf numFmtId="182" fontId="4" fillId="0" borderId="16" xfId="5" applyNumberFormat="1" applyFont="1" applyFill="1" applyBorder="1">
      <alignment vertical="center"/>
    </xf>
    <xf numFmtId="182" fontId="3" fillId="0" borderId="17" xfId="5" applyNumberFormat="1" applyFont="1" applyFill="1" applyBorder="1">
      <alignment vertical="center"/>
    </xf>
    <xf numFmtId="182" fontId="4" fillId="0" borderId="18" xfId="5" applyNumberFormat="1" applyFont="1" applyFill="1" applyBorder="1">
      <alignment vertical="center"/>
    </xf>
    <xf numFmtId="176" fontId="6" fillId="2" borderId="5" xfId="5" applyNumberFormat="1" applyFont="1" applyFill="1" applyBorder="1">
      <alignment vertical="center"/>
    </xf>
    <xf numFmtId="9" fontId="3" fillId="0" borderId="2" xfId="6" applyFont="1" applyFill="1" applyBorder="1">
      <alignment vertical="center"/>
    </xf>
    <xf numFmtId="9" fontId="15" fillId="0" borderId="2" xfId="6" applyFont="1" applyFill="1" applyBorder="1">
      <alignment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182" fontId="4" fillId="0" borderId="20" xfId="5" applyNumberFormat="1" applyFont="1" applyFill="1" applyBorder="1">
      <alignment vertical="center"/>
    </xf>
    <xf numFmtId="0" fontId="12" fillId="2" borderId="19" xfId="0" applyFont="1" applyFill="1" applyBorder="1" applyAlignment="1">
      <alignment horizontal="center" vertical="center"/>
    </xf>
    <xf numFmtId="182" fontId="3" fillId="0" borderId="21" xfId="5" applyNumberFormat="1" applyFont="1" applyFill="1" applyBorder="1">
      <alignment vertical="center"/>
    </xf>
    <xf numFmtId="0" fontId="3" fillId="0" borderId="22" xfId="0" applyFont="1" applyFill="1" applyBorder="1" applyAlignment="1">
      <alignment horizontal="center" vertical="center"/>
    </xf>
    <xf numFmtId="178" fontId="5" fillId="3" borderId="7" xfId="5" applyNumberFormat="1" applyFont="1" applyFill="1" applyBorder="1" applyAlignment="1">
      <alignment horizontal="right" vertical="center"/>
    </xf>
    <xf numFmtId="0" fontId="3" fillId="2" borderId="2" xfId="0" applyFont="1" applyFill="1" applyBorder="1">
      <alignment vertical="center"/>
    </xf>
    <xf numFmtId="184" fontId="3" fillId="0" borderId="2" xfId="0" applyNumberFormat="1" applyFont="1" applyFill="1" applyBorder="1">
      <alignment vertical="center"/>
    </xf>
    <xf numFmtId="176" fontId="5" fillId="0" borderId="6" xfId="5" applyNumberFormat="1" applyFont="1" applyFill="1" applyBorder="1">
      <alignment vertical="center"/>
    </xf>
    <xf numFmtId="182" fontId="3" fillId="3" borderId="2" xfId="5" applyNumberFormat="1" applyFont="1" applyFill="1" applyBorder="1">
      <alignment vertical="center"/>
    </xf>
    <xf numFmtId="182" fontId="4" fillId="3" borderId="16" xfId="5" applyNumberFormat="1" applyFont="1" applyFill="1" applyBorder="1">
      <alignment vertical="center"/>
    </xf>
    <xf numFmtId="182" fontId="3" fillId="0" borderId="24" xfId="5" applyNumberFormat="1" applyFont="1" applyFill="1" applyBorder="1">
      <alignment vertical="center"/>
    </xf>
    <xf numFmtId="185" fontId="3" fillId="0" borderId="4" xfId="5" applyNumberFormat="1" applyFont="1" applyFill="1" applyBorder="1">
      <alignment vertical="center"/>
    </xf>
    <xf numFmtId="0" fontId="9" fillId="0" borderId="19" xfId="0" applyFont="1" applyFill="1" applyBorder="1" applyAlignment="1">
      <alignment horizontal="center" vertical="center"/>
    </xf>
    <xf numFmtId="183" fontId="3" fillId="0" borderId="3" xfId="6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9" fontId="3" fillId="0" borderId="2" xfId="6" applyFont="1" applyFill="1" applyBorder="1" applyAlignment="1">
      <alignment horizontal="center" vertical="center"/>
    </xf>
    <xf numFmtId="9" fontId="3" fillId="0" borderId="2" xfId="6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6" fillId="0" borderId="2" xfId="0" applyFont="1" applyFill="1" applyBorder="1">
      <alignment vertical="center"/>
    </xf>
    <xf numFmtId="0" fontId="17" fillId="0" borderId="2" xfId="0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182" fontId="3" fillId="2" borderId="2" xfId="5" applyNumberFormat="1" applyFont="1" applyFill="1" applyBorder="1">
      <alignment vertical="center"/>
    </xf>
    <xf numFmtId="0" fontId="18" fillId="0" borderId="2" xfId="0" applyFont="1" applyFill="1" applyBorder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9" fillId="0" borderId="2" xfId="0" applyFont="1" applyFill="1" applyBorder="1">
      <alignment vertical="center"/>
    </xf>
    <xf numFmtId="182" fontId="3" fillId="2" borderId="4" xfId="5" applyNumberFormat="1" applyFont="1" applyFill="1" applyBorder="1">
      <alignment vertical="center"/>
    </xf>
    <xf numFmtId="182" fontId="3" fillId="2" borderId="3" xfId="5" applyNumberFormat="1" applyFont="1" applyFill="1" applyBorder="1">
      <alignment vertical="center"/>
    </xf>
    <xf numFmtId="0" fontId="4" fillId="0" borderId="2" xfId="0" applyFont="1" applyFill="1" applyBorder="1" applyAlignment="1"/>
    <xf numFmtId="177" fontId="3" fillId="2" borderId="3" xfId="5" applyNumberFormat="1" applyFont="1" applyFill="1" applyBorder="1">
      <alignment vertical="center"/>
    </xf>
    <xf numFmtId="177" fontId="3" fillId="2" borderId="2" xfId="5" applyNumberFormat="1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186" fontId="3" fillId="0" borderId="4" xfId="5" applyNumberFormat="1" applyFont="1" applyFill="1" applyBorder="1">
      <alignment vertical="center"/>
    </xf>
    <xf numFmtId="186" fontId="15" fillId="0" borderId="4" xfId="5" applyNumberFormat="1" applyFont="1" applyFill="1" applyBorder="1">
      <alignment vertical="center"/>
    </xf>
    <xf numFmtId="177" fontId="3" fillId="2" borderId="4" xfId="5" applyNumberFormat="1" applyFont="1" applyFill="1" applyBorder="1">
      <alignment vertical="center"/>
    </xf>
    <xf numFmtId="0" fontId="18" fillId="0" borderId="7" xfId="0" applyFont="1" applyFill="1" applyBorder="1">
      <alignment vertical="center"/>
    </xf>
    <xf numFmtId="15" fontId="6" fillId="2" borderId="15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wrapText="1"/>
    </xf>
    <xf numFmtId="0" fontId="6" fillId="2" borderId="7" xfId="0" applyFont="1" applyFill="1" applyBorder="1">
      <alignment vertical="center"/>
    </xf>
    <xf numFmtId="176" fontId="6" fillId="2" borderId="2" xfId="5" applyNumberFormat="1" applyFont="1" applyFill="1" applyBorder="1">
      <alignment vertical="center"/>
    </xf>
    <xf numFmtId="176" fontId="5" fillId="2" borderId="2" xfId="5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176" fontId="4" fillId="2" borderId="2" xfId="5" applyNumberFormat="1" applyFont="1" applyFill="1" applyBorder="1">
      <alignment vertical="center"/>
    </xf>
    <xf numFmtId="0" fontId="4" fillId="0" borderId="19" xfId="0" applyFont="1" applyFill="1" applyBorder="1" applyAlignment="1">
      <alignment horizontal="center" vertical="center"/>
    </xf>
    <xf numFmtId="185" fontId="3" fillId="2" borderId="4" xfId="5" applyNumberFormat="1" applyFont="1" applyFill="1" applyBorder="1">
      <alignment vertical="center"/>
    </xf>
    <xf numFmtId="182" fontId="4" fillId="2" borderId="16" xfId="5" applyNumberFormat="1" applyFont="1" applyFill="1" applyBorder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2" fontId="3" fillId="2" borderId="17" xfId="5" applyNumberFormat="1" applyFont="1" applyFill="1" applyBorder="1">
      <alignment vertical="center"/>
    </xf>
    <xf numFmtId="9" fontId="3" fillId="0" borderId="3" xfId="6" applyNumberFormat="1" applyFont="1" applyFill="1" applyBorder="1" applyAlignment="1">
      <alignment horizontal="right" vertical="center"/>
    </xf>
    <xf numFmtId="9" fontId="19" fillId="0" borderId="3" xfId="6" applyNumberFormat="1" applyFont="1" applyFill="1" applyBorder="1" applyAlignment="1">
      <alignment horizontal="right" vertical="center"/>
    </xf>
  </cellXfs>
  <cellStyles count="9">
    <cellStyle name="一般" xfId="0" builtinId="0"/>
    <cellStyle name="一般 11" xfId="1"/>
    <cellStyle name="一般 2" xfId="2"/>
    <cellStyle name="一般 2 2 3" xfId="3"/>
    <cellStyle name="一般_CF" xfId="4"/>
    <cellStyle name="千分位" xfId="5" builtinId="3"/>
    <cellStyle name="百分比" xfId="6" builtinId="5"/>
    <cellStyle name="貨幣 2 2" xfId="7"/>
    <cellStyle name="貨幣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568325</xdr:colOff>
      <xdr:row>1</xdr:row>
      <xdr:rowOff>57150</xdr:rowOff>
    </xdr:to>
    <xdr:pic>
      <xdr:nvPicPr>
        <xdr:cNvPr id="2" name="圖片 1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0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22227</xdr:rowOff>
    </xdr:from>
    <xdr:to>
      <xdr:col>7</xdr:col>
      <xdr:colOff>152400</xdr:colOff>
      <xdr:row>1</xdr:row>
      <xdr:rowOff>76444</xdr:rowOff>
    </xdr:to>
    <xdr:sp macro="" textlink="">
      <xdr:nvSpPr>
        <xdr:cNvPr id="3" name="文字方塊 2"/>
        <xdr:cNvSpPr txBox="1"/>
      </xdr:nvSpPr>
      <xdr:spPr>
        <a:xfrm>
          <a:off x="0" y="22227"/>
          <a:ext cx="6438900" cy="2637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zh-TW" altLang="en-US" sz="1200" b="1">
              <a:solidFill>
                <a:schemeClr val="bg1"/>
              </a:solidFill>
              <a:latin typeface="微軟正黑體" pitchFamily="34" charset="-120"/>
              <a:ea typeface="微軟正黑體" pitchFamily="34" charset="-120"/>
            </a:rPr>
            <a:t>簡明合併損益表</a:t>
          </a:r>
        </a:p>
      </xdr:txBody>
    </xdr:sp>
    <xdr:clientData/>
  </xdr:twoCellAnchor>
  <xdr:twoCellAnchor editAs="oneCell">
    <xdr:from>
      <xdr:col>0</xdr:col>
      <xdr:colOff>47625</xdr:colOff>
      <xdr:row>1</xdr:row>
      <xdr:rowOff>85725</xdr:rowOff>
    </xdr:from>
    <xdr:to>
      <xdr:col>0</xdr:col>
      <xdr:colOff>1047750</xdr:colOff>
      <xdr:row>1</xdr:row>
      <xdr:rowOff>714375</xdr:rowOff>
    </xdr:to>
    <xdr:pic>
      <xdr:nvPicPr>
        <xdr:cNvPr id="4" name="圖片 2" descr="ali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95275"/>
          <a:ext cx="1000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190500</xdr:rowOff>
    </xdr:from>
    <xdr:to>
      <xdr:col>37</xdr:col>
      <xdr:colOff>263525</xdr:colOff>
      <xdr:row>23</xdr:row>
      <xdr:rowOff>38100</xdr:rowOff>
    </xdr:to>
    <xdr:pic>
      <xdr:nvPicPr>
        <xdr:cNvPr id="5" name="圖片 3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9675"/>
          <a:ext cx="271240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74</xdr:col>
      <xdr:colOff>85725</xdr:colOff>
      <xdr:row>0</xdr:row>
      <xdr:rowOff>276225</xdr:rowOff>
    </xdr:to>
    <xdr:pic>
      <xdr:nvPicPr>
        <xdr:cNvPr id="2" name="圖片 1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54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314325</xdr:rowOff>
    </xdr:from>
    <xdr:to>
      <xdr:col>1</xdr:col>
      <xdr:colOff>0</xdr:colOff>
      <xdr:row>0</xdr:row>
      <xdr:rowOff>314325</xdr:rowOff>
    </xdr:to>
    <xdr:pic>
      <xdr:nvPicPr>
        <xdr:cNvPr id="3" name="圖片 2" descr="ali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14325"/>
          <a:ext cx="1000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83</xdr:col>
      <xdr:colOff>533400</xdr:colOff>
      <xdr:row>22</xdr:row>
      <xdr:rowOff>66675</xdr:rowOff>
    </xdr:to>
    <xdr:pic>
      <xdr:nvPicPr>
        <xdr:cNvPr id="4" name="圖片 3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27174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31</xdr:col>
      <xdr:colOff>1466850</xdr:colOff>
      <xdr:row>0</xdr:row>
      <xdr:rowOff>247651</xdr:rowOff>
    </xdr:to>
    <xdr:sp macro="" textlink="">
      <xdr:nvSpPr>
        <xdr:cNvPr id="5" name="文字方塊 4"/>
        <xdr:cNvSpPr txBox="1"/>
      </xdr:nvSpPr>
      <xdr:spPr>
        <a:xfrm>
          <a:off x="0" y="1"/>
          <a:ext cx="85153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TW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Consolidated Condensed</a:t>
          </a:r>
          <a:r>
            <a:rPr lang="en-US" altLang="zh-TW" sz="12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zh-TW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Income Statements</a:t>
          </a:r>
          <a:r>
            <a:rPr lang="en-US" altLang="zh-TW" sz="12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zh-TW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endParaRPr lang="zh-TW" altLang="en-US" sz="12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276225</xdr:rowOff>
    </xdr:from>
    <xdr:to>
      <xdr:col>0</xdr:col>
      <xdr:colOff>1028700</xdr:colOff>
      <xdr:row>0</xdr:row>
      <xdr:rowOff>971550</xdr:rowOff>
    </xdr:to>
    <xdr:pic>
      <xdr:nvPicPr>
        <xdr:cNvPr id="27" name="圖片 2" descr="ali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76225"/>
          <a:ext cx="1000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247650</xdr:rowOff>
    </xdr:to>
    <xdr:sp macro="" textlink="">
      <xdr:nvSpPr>
        <xdr:cNvPr id="28" name="文字方塊 27"/>
        <xdr:cNvSpPr txBox="1"/>
      </xdr:nvSpPr>
      <xdr:spPr>
        <a:xfrm>
          <a:off x="0" y="0"/>
          <a:ext cx="85153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zh-TW" altLang="zh-TW" sz="1100">
            <a:solidFill>
              <a:schemeClr val="bg1"/>
            </a:solidFill>
            <a:effectLst/>
            <a:latin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74</xdr:col>
      <xdr:colOff>85725</xdr:colOff>
      <xdr:row>0</xdr:row>
      <xdr:rowOff>266700</xdr:rowOff>
    </xdr:to>
    <xdr:pic>
      <xdr:nvPicPr>
        <xdr:cNvPr id="29" name="圖片 1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54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314325</xdr:rowOff>
    </xdr:from>
    <xdr:to>
      <xdr:col>0</xdr:col>
      <xdr:colOff>1057275</xdr:colOff>
      <xdr:row>0</xdr:row>
      <xdr:rowOff>942975</xdr:rowOff>
    </xdr:to>
    <xdr:pic>
      <xdr:nvPicPr>
        <xdr:cNvPr id="30" name="圖片 2" descr="ali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14325"/>
          <a:ext cx="1000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31</xdr:col>
      <xdr:colOff>1466850</xdr:colOff>
      <xdr:row>0</xdr:row>
      <xdr:rowOff>247651</xdr:rowOff>
    </xdr:to>
    <xdr:sp macro="" textlink="">
      <xdr:nvSpPr>
        <xdr:cNvPr id="31" name="文字方塊 30"/>
        <xdr:cNvSpPr txBox="1"/>
      </xdr:nvSpPr>
      <xdr:spPr>
        <a:xfrm>
          <a:off x="0" y="1"/>
          <a:ext cx="85153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TW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Consolidated Condensed</a:t>
          </a:r>
          <a:r>
            <a:rPr lang="en-US" altLang="zh-TW" sz="12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zh-TW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Income Statements</a:t>
          </a:r>
          <a:r>
            <a:rPr lang="en-US" altLang="zh-TW" sz="12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zh-TW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endParaRPr lang="zh-TW" altLang="en-US" sz="12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61</xdr:col>
      <xdr:colOff>555625</xdr:colOff>
      <xdr:row>0</xdr:row>
      <xdr:rowOff>266700</xdr:rowOff>
    </xdr:to>
    <xdr:pic>
      <xdr:nvPicPr>
        <xdr:cNvPr id="3926" name="圖片 1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93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276225</xdr:rowOff>
    </xdr:from>
    <xdr:to>
      <xdr:col>0</xdr:col>
      <xdr:colOff>1028700</xdr:colOff>
      <xdr:row>0</xdr:row>
      <xdr:rowOff>904875</xdr:rowOff>
    </xdr:to>
    <xdr:pic>
      <xdr:nvPicPr>
        <xdr:cNvPr id="3927" name="圖片 2" descr="ali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76225"/>
          <a:ext cx="1000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62</xdr:col>
      <xdr:colOff>469900</xdr:colOff>
      <xdr:row>48</xdr:row>
      <xdr:rowOff>66675</xdr:rowOff>
    </xdr:to>
    <xdr:pic>
      <xdr:nvPicPr>
        <xdr:cNvPr id="3928" name="圖片 3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39425"/>
          <a:ext cx="21135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0</xdr:row>
      <xdr:rowOff>247650</xdr:rowOff>
    </xdr:to>
    <xdr:sp macro="" textlink="">
      <xdr:nvSpPr>
        <xdr:cNvPr id="5" name="文字方塊 4"/>
        <xdr:cNvSpPr txBox="1"/>
      </xdr:nvSpPr>
      <xdr:spPr>
        <a:xfrm>
          <a:off x="0" y="0"/>
          <a:ext cx="70389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zh-TW" sz="11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Consolidated Condensed Balance Sheets</a:t>
          </a:r>
          <a:endParaRPr lang="zh-TW" altLang="zh-TW" sz="1100">
            <a:solidFill>
              <a:schemeClr val="bg1"/>
            </a:solidFill>
            <a:effectLst/>
          </a:endParaRPr>
        </a:p>
      </xdr:txBody>
    </xdr:sp>
    <xdr:clientData/>
  </xdr:twoCellAnchor>
  <xdr:oneCellAnchor>
    <xdr:from>
      <xdr:col>0</xdr:col>
      <xdr:colOff>47625</xdr:colOff>
      <xdr:row>1</xdr:row>
      <xdr:rowOff>114300</xdr:rowOff>
    </xdr:from>
    <xdr:ext cx="638175" cy="0"/>
    <xdr:pic>
      <xdr:nvPicPr>
        <xdr:cNvPr id="9" name="圖片 2" descr="ali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8585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1</xdr:row>
      <xdr:rowOff>114300</xdr:rowOff>
    </xdr:from>
    <xdr:ext cx="638175" cy="0"/>
    <xdr:pic>
      <xdr:nvPicPr>
        <xdr:cNvPr id="10" name="圖片 9" descr="ali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8585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1</xdr:row>
      <xdr:rowOff>114300</xdr:rowOff>
    </xdr:from>
    <xdr:ext cx="638175" cy="0"/>
    <xdr:pic>
      <xdr:nvPicPr>
        <xdr:cNvPr id="11" name="圖片 2" descr="ali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8585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74</xdr:col>
      <xdr:colOff>85725</xdr:colOff>
      <xdr:row>0</xdr:row>
      <xdr:rowOff>266700</xdr:rowOff>
    </xdr:to>
    <xdr:pic>
      <xdr:nvPicPr>
        <xdr:cNvPr id="12" name="圖片 1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54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314325</xdr:rowOff>
    </xdr:from>
    <xdr:to>
      <xdr:col>0</xdr:col>
      <xdr:colOff>1057275</xdr:colOff>
      <xdr:row>0</xdr:row>
      <xdr:rowOff>942975</xdr:rowOff>
    </xdr:to>
    <xdr:pic>
      <xdr:nvPicPr>
        <xdr:cNvPr id="13" name="圖片 2" descr="ali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14325"/>
          <a:ext cx="1000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31</xdr:col>
      <xdr:colOff>1466850</xdr:colOff>
      <xdr:row>0</xdr:row>
      <xdr:rowOff>247651</xdr:rowOff>
    </xdr:to>
    <xdr:sp macro="" textlink="">
      <xdr:nvSpPr>
        <xdr:cNvPr id="14" name="文字方塊 13"/>
        <xdr:cNvSpPr txBox="1"/>
      </xdr:nvSpPr>
      <xdr:spPr>
        <a:xfrm>
          <a:off x="0" y="1"/>
          <a:ext cx="85153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TW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Consolidated Condensed</a:t>
          </a:r>
          <a:r>
            <a:rPr lang="en-US" altLang="zh-TW" sz="11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Balance</a:t>
          </a:r>
          <a:r>
            <a:rPr lang="en-US" altLang="zh-TW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Sheets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73</xdr:col>
      <xdr:colOff>314325</xdr:colOff>
      <xdr:row>0</xdr:row>
      <xdr:rowOff>276225</xdr:rowOff>
    </xdr:to>
    <xdr:pic>
      <xdr:nvPicPr>
        <xdr:cNvPr id="15" name="圖片 1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54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35</xdr:col>
      <xdr:colOff>0</xdr:colOff>
      <xdr:row>0</xdr:row>
      <xdr:rowOff>247650</xdr:rowOff>
    </xdr:to>
    <xdr:sp macro="" textlink="">
      <xdr:nvSpPr>
        <xdr:cNvPr id="16" name="文字方塊 15"/>
        <xdr:cNvSpPr txBox="1"/>
      </xdr:nvSpPr>
      <xdr:spPr>
        <a:xfrm>
          <a:off x="0" y="0"/>
          <a:ext cx="78962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TW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Consolidated Condensed Balance Sheets</a:t>
          </a:r>
          <a:endParaRPr lang="zh-TW" altLang="en-US" sz="12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323850</xdr:rowOff>
    </xdr:from>
    <xdr:to>
      <xdr:col>0</xdr:col>
      <xdr:colOff>1047750</xdr:colOff>
      <xdr:row>0</xdr:row>
      <xdr:rowOff>952500</xdr:rowOff>
    </xdr:to>
    <xdr:pic>
      <xdr:nvPicPr>
        <xdr:cNvPr id="17" name="圖片 2" descr="ali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1000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276225</xdr:rowOff>
    </xdr:from>
    <xdr:to>
      <xdr:col>0</xdr:col>
      <xdr:colOff>1028700</xdr:colOff>
      <xdr:row>0</xdr:row>
      <xdr:rowOff>904875</xdr:rowOff>
    </xdr:to>
    <xdr:pic>
      <xdr:nvPicPr>
        <xdr:cNvPr id="4736" name="圖片 5" descr="ali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009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45</xdr:col>
      <xdr:colOff>53975</xdr:colOff>
      <xdr:row>0</xdr:row>
      <xdr:rowOff>266700</xdr:rowOff>
    </xdr:to>
    <xdr:pic>
      <xdr:nvPicPr>
        <xdr:cNvPr id="4737" name="圖片 4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247650</xdr:rowOff>
    </xdr:to>
    <xdr:sp macro="" textlink="">
      <xdr:nvSpPr>
        <xdr:cNvPr id="7" name="文字方塊 6"/>
        <xdr:cNvSpPr txBox="1"/>
      </xdr:nvSpPr>
      <xdr:spPr>
        <a:xfrm>
          <a:off x="0" y="0"/>
          <a:ext cx="73818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zh-TW" altLang="en-US" sz="1200" b="1">
            <a:solidFill>
              <a:schemeClr val="bg1"/>
            </a:solidFill>
            <a:latin typeface="微軟正黑體" pitchFamily="34" charset="-120"/>
            <a:ea typeface="微軟正黑體" pitchFamily="34" charset="-12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0</xdr:colOff>
      <xdr:row>0</xdr:row>
      <xdr:rowOff>276225</xdr:rowOff>
    </xdr:to>
    <xdr:sp macro="" textlink="">
      <xdr:nvSpPr>
        <xdr:cNvPr id="5" name="文字方塊 4"/>
        <xdr:cNvSpPr txBox="1"/>
      </xdr:nvSpPr>
      <xdr:spPr>
        <a:xfrm>
          <a:off x="0" y="0"/>
          <a:ext cx="110585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TW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Consolidated Condensed Cash Flow Statements </a:t>
          </a:r>
          <a:endParaRPr lang="zh-TW" altLang="en-US" sz="12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190500</xdr:colOff>
      <xdr:row>0</xdr:row>
      <xdr:rowOff>276225</xdr:rowOff>
    </xdr:to>
    <xdr:pic>
      <xdr:nvPicPr>
        <xdr:cNvPr id="6" name="圖片 4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8503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247650</xdr:rowOff>
    </xdr:to>
    <xdr:sp macro="" textlink="">
      <xdr:nvSpPr>
        <xdr:cNvPr id="8" name="文字方塊 7"/>
        <xdr:cNvSpPr txBox="1"/>
      </xdr:nvSpPr>
      <xdr:spPr>
        <a:xfrm>
          <a:off x="0" y="0"/>
          <a:ext cx="63627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zh-TW" sz="11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Consolidated Condensed Cash Flow Statements </a:t>
          </a:r>
          <a:endParaRPr lang="zh-TW" altLang="zh-TW" sz="1200"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314325</xdr:rowOff>
    </xdr:from>
    <xdr:to>
      <xdr:col>0</xdr:col>
      <xdr:colOff>1047750</xdr:colOff>
      <xdr:row>0</xdr:row>
      <xdr:rowOff>942975</xdr:rowOff>
    </xdr:to>
    <xdr:pic>
      <xdr:nvPicPr>
        <xdr:cNvPr id="9" name="圖片 2" descr="ali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14325"/>
          <a:ext cx="1000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</xdr:row>
      <xdr:rowOff>190500</xdr:rowOff>
    </xdr:from>
    <xdr:to>
      <xdr:col>39</xdr:col>
      <xdr:colOff>123825</xdr:colOff>
      <xdr:row>66</xdr:row>
      <xdr:rowOff>28575</xdr:rowOff>
    </xdr:to>
    <xdr:pic>
      <xdr:nvPicPr>
        <xdr:cNvPr id="12" name="圖片 7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73075"/>
          <a:ext cx="210978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41</xdr:col>
      <xdr:colOff>66675</xdr:colOff>
      <xdr:row>66</xdr:row>
      <xdr:rowOff>57150</xdr:rowOff>
    </xdr:to>
    <xdr:pic>
      <xdr:nvPicPr>
        <xdr:cNvPr id="13" name="圖片 3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01650"/>
          <a:ext cx="224123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>
      <selection activeCell="A2" sqref="A2"/>
    </sheetView>
  </sheetViews>
  <sheetFormatPr defaultColWidth="9" defaultRowHeight="16.5"/>
  <cols>
    <col min="1" max="1" width="26.375" style="83" bestFit="1" customWidth="1"/>
    <col min="2" max="2" width="19.625" style="83" customWidth="1"/>
    <col min="3" max="3" width="7.875" style="84" customWidth="1"/>
    <col min="4" max="4" width="19.625" style="83" customWidth="1"/>
    <col min="5" max="5" width="9" style="84"/>
    <col min="6" max="6" width="19.625" style="83" hidden="1" customWidth="1"/>
    <col min="7" max="7" width="0" style="84" hidden="1" customWidth="1"/>
    <col min="8" max="8" width="9" style="84"/>
    <col min="9" max="16384" width="9" style="83"/>
  </cols>
  <sheetData>
    <row r="2" spans="1:8" ht="57" customHeight="1"/>
    <row r="4" spans="1:8" ht="17.25" thickBot="1">
      <c r="A4" s="82" t="s">
        <v>43</v>
      </c>
      <c r="B4" s="110">
        <v>2015</v>
      </c>
      <c r="C4" s="111"/>
      <c r="D4" s="110">
        <v>2014</v>
      </c>
      <c r="E4" s="111"/>
      <c r="F4" s="110">
        <v>2013</v>
      </c>
      <c r="G4" s="111"/>
      <c r="H4" s="76" t="s">
        <v>44</v>
      </c>
    </row>
    <row r="5" spans="1:8">
      <c r="A5" s="50" t="s">
        <v>8</v>
      </c>
      <c r="B5" s="3" t="e">
        <f>SUM(#REF!,#REF!,#REF!,#REF!)</f>
        <v>#REF!</v>
      </c>
      <c r="C5" s="79" t="e">
        <f>B5/B5</f>
        <v>#REF!</v>
      </c>
      <c r="D5" s="3" t="e">
        <f>SUM(#REF!,#REF!,#REF!,#REF!)</f>
        <v>#REF!</v>
      </c>
      <c r="E5" s="79" t="e">
        <f>D5/D5</f>
        <v>#REF!</v>
      </c>
      <c r="F5" s="3" t="e">
        <f>SUM(#REF!,#REF!,#REF!,#REF!)</f>
        <v>#REF!</v>
      </c>
      <c r="G5" s="79" t="e">
        <f>F5/F5</f>
        <v>#REF!</v>
      </c>
      <c r="H5" s="77" t="e">
        <f>B5/D5-1</f>
        <v>#REF!</v>
      </c>
    </row>
    <row r="6" spans="1:8">
      <c r="A6" s="51" t="s">
        <v>9</v>
      </c>
      <c r="B6" s="9" t="e">
        <f>SUM(#REF!,#REF!,#REF!,#REF!)</f>
        <v>#REF!</v>
      </c>
      <c r="C6" s="79"/>
      <c r="D6" s="9" t="e">
        <f>SUM(#REF!,#REF!,#REF!,#REF!)</f>
        <v>#REF!</v>
      </c>
      <c r="E6" s="79"/>
      <c r="F6" s="9" t="e">
        <f>SUM(#REF!,#REF!,#REF!,#REF!)</f>
        <v>#REF!</v>
      </c>
      <c r="G6" s="79"/>
      <c r="H6" s="77" t="e">
        <f t="shared" ref="H6:H14" si="0">B6/D6-1</f>
        <v>#REF!</v>
      </c>
    </row>
    <row r="7" spans="1:8">
      <c r="A7" s="50" t="s">
        <v>10</v>
      </c>
      <c r="B7" s="74" t="e">
        <f>SUM(#REF!,#REF!,#REF!,#REF!)</f>
        <v>#REF!</v>
      </c>
      <c r="C7" s="80" t="e">
        <f>B7/B5</f>
        <v>#REF!</v>
      </c>
      <c r="D7" s="74" t="e">
        <f>SUM(#REF!,#REF!,#REF!,#REF!)</f>
        <v>#REF!</v>
      </c>
      <c r="E7" s="80" t="e">
        <f>D7/D5</f>
        <v>#REF!</v>
      </c>
      <c r="F7" s="74" t="e">
        <f>SUM(#REF!,#REF!,#REF!,#REF!)</f>
        <v>#REF!</v>
      </c>
      <c r="G7" s="80" t="e">
        <f>F7/F5</f>
        <v>#REF!</v>
      </c>
      <c r="H7" s="77" t="e">
        <f t="shared" si="0"/>
        <v>#REF!</v>
      </c>
    </row>
    <row r="8" spans="1:8">
      <c r="A8" s="51" t="s">
        <v>11</v>
      </c>
      <c r="B8" s="7"/>
      <c r="C8" s="79"/>
      <c r="D8" s="7"/>
      <c r="E8" s="79"/>
      <c r="F8" s="7" t="e">
        <f>SUM(#REF!,#REF!,#REF!,#REF!)</f>
        <v>#REF!</v>
      </c>
      <c r="G8" s="79"/>
      <c r="H8" s="77"/>
    </row>
    <row r="9" spans="1:8">
      <c r="A9" s="51" t="s">
        <v>12</v>
      </c>
      <c r="B9" s="3" t="e">
        <f>SUM(#REF!,#REF!,#REF!,#REF!)</f>
        <v>#REF!</v>
      </c>
      <c r="C9" s="79"/>
      <c r="D9" s="3" t="e">
        <f>SUM(#REF!,#REF!,#REF!,#REF!)</f>
        <v>#REF!</v>
      </c>
      <c r="E9" s="79"/>
      <c r="F9" s="3" t="e">
        <f>SUM(#REF!,#REF!,#REF!,#REF!)</f>
        <v>#REF!</v>
      </c>
      <c r="G9" s="79"/>
      <c r="H9" s="77" t="e">
        <f t="shared" si="0"/>
        <v>#REF!</v>
      </c>
    </row>
    <row r="10" spans="1:8">
      <c r="A10" s="51" t="s">
        <v>13</v>
      </c>
      <c r="B10" s="3" t="e">
        <f>SUM(#REF!,#REF!,#REF!,#REF!)</f>
        <v>#REF!</v>
      </c>
      <c r="C10" s="79"/>
      <c r="D10" s="3" t="e">
        <f>SUM(#REF!,#REF!,#REF!,#REF!)</f>
        <v>#REF!</v>
      </c>
      <c r="E10" s="79"/>
      <c r="F10" s="3" t="e">
        <f>SUM(#REF!,#REF!,#REF!,#REF!)</f>
        <v>#REF!</v>
      </c>
      <c r="G10" s="79"/>
      <c r="H10" s="77" t="e">
        <f t="shared" si="0"/>
        <v>#REF!</v>
      </c>
    </row>
    <row r="11" spans="1:8">
      <c r="A11" s="51" t="s">
        <v>14</v>
      </c>
      <c r="B11" s="3" t="e">
        <f>SUM(#REF!,#REF!,#REF!,#REF!)</f>
        <v>#REF!</v>
      </c>
      <c r="C11" s="79"/>
      <c r="D11" s="3" t="e">
        <f>SUM(#REF!,#REF!,#REF!,#REF!)</f>
        <v>#REF!</v>
      </c>
      <c r="E11" s="79"/>
      <c r="F11" s="3" t="e">
        <f>SUM(#REF!,#REF!,#REF!,#REF!)</f>
        <v>#REF!</v>
      </c>
      <c r="G11" s="79"/>
      <c r="H11" s="77" t="e">
        <f t="shared" si="0"/>
        <v>#REF!</v>
      </c>
    </row>
    <row r="12" spans="1:8">
      <c r="A12" s="51" t="s">
        <v>15</v>
      </c>
      <c r="B12" s="9" t="e">
        <f>SUM(#REF!,#REF!,#REF!,#REF!)</f>
        <v>#REF!</v>
      </c>
      <c r="C12" s="80"/>
      <c r="D12" s="9" t="e">
        <f>SUM(#REF!,#REF!,#REF!,#REF!)</f>
        <v>#REF!</v>
      </c>
      <c r="E12" s="80"/>
      <c r="F12" s="9" t="e">
        <f>SUM(#REF!,#REF!,#REF!,#REF!)</f>
        <v>#REF!</v>
      </c>
      <c r="G12" s="80"/>
      <c r="H12" s="77" t="e">
        <f t="shared" si="0"/>
        <v>#REF!</v>
      </c>
    </row>
    <row r="13" spans="1:8">
      <c r="A13" s="50" t="s">
        <v>45</v>
      </c>
      <c r="B13" s="3" t="e">
        <f>SUM(#REF!,#REF!,#REF!,#REF!)</f>
        <v>#REF!</v>
      </c>
      <c r="C13" s="79" t="e">
        <f>B13/B5</f>
        <v>#REF!</v>
      </c>
      <c r="D13" s="3" t="e">
        <f>SUM(#REF!,#REF!,#REF!,#REF!)</f>
        <v>#REF!</v>
      </c>
      <c r="E13" s="79" t="e">
        <f>D13/D5</f>
        <v>#REF!</v>
      </c>
      <c r="F13" s="3" t="e">
        <f>SUM(#REF!,#REF!,#REF!,#REF!)</f>
        <v>#REF!</v>
      </c>
      <c r="G13" s="79" t="e">
        <f>F13/F5</f>
        <v>#REF!</v>
      </c>
      <c r="H13" s="77" t="s">
        <v>40</v>
      </c>
    </row>
    <row r="14" spans="1:8">
      <c r="A14" s="51" t="s">
        <v>46</v>
      </c>
      <c r="B14" s="7" t="e">
        <f>SUM(#REF!,#REF!,#REF!,#REF!)</f>
        <v>#REF!</v>
      </c>
      <c r="C14" s="79"/>
      <c r="D14" s="7" t="e">
        <f>SUM(#REF!,#REF!,#REF!,#REF!)</f>
        <v>#REF!</v>
      </c>
      <c r="E14" s="79"/>
      <c r="F14" s="7" t="e">
        <f>SUM(#REF!,#REF!,#REF!,#REF!)</f>
        <v>#REF!</v>
      </c>
      <c r="G14" s="79"/>
      <c r="H14" s="77" t="e">
        <f t="shared" si="0"/>
        <v>#REF!</v>
      </c>
    </row>
    <row r="15" spans="1:8">
      <c r="A15" s="51" t="s">
        <v>47</v>
      </c>
      <c r="B15" s="3" t="e">
        <f>SUM(#REF!,#REF!,#REF!,#REF!)</f>
        <v>#REF!</v>
      </c>
      <c r="C15" s="79"/>
      <c r="D15" s="3" t="e">
        <f>SUM(#REF!,#REF!,#REF!,#REF!)</f>
        <v>#REF!</v>
      </c>
      <c r="E15" s="79"/>
      <c r="F15" s="3" t="e">
        <f>SUM(#REF!,#REF!,#REF!,#REF!)</f>
        <v>#REF!</v>
      </c>
      <c r="G15" s="79"/>
      <c r="H15" s="77" t="s">
        <v>41</v>
      </c>
    </row>
    <row r="16" spans="1:8">
      <c r="A16" s="51" t="s">
        <v>48</v>
      </c>
      <c r="B16" s="3" t="e">
        <f>SUM(#REF!,#REF!,#REF!,#REF!)</f>
        <v>#REF!</v>
      </c>
      <c r="C16" s="79"/>
      <c r="D16" s="3" t="e">
        <f>SUM(#REF!,#REF!,#REF!,#REF!)</f>
        <v>#REF!</v>
      </c>
      <c r="E16" s="79"/>
      <c r="F16" s="3" t="e">
        <f>SUM(#REF!,#REF!,#REF!,#REF!)</f>
        <v>#REF!</v>
      </c>
      <c r="G16" s="79"/>
      <c r="H16" s="77" t="s">
        <v>42</v>
      </c>
    </row>
    <row r="17" spans="1:8">
      <c r="A17" s="52" t="s">
        <v>49</v>
      </c>
      <c r="B17" s="9" t="e">
        <f>SUM(#REF!,#REF!,#REF!,#REF!)</f>
        <v>#REF!</v>
      </c>
      <c r="C17" s="80"/>
      <c r="D17" s="9" t="e">
        <f>SUM(#REF!,#REF!,#REF!,#REF!)</f>
        <v>#REF!</v>
      </c>
      <c r="E17" s="80"/>
      <c r="F17" s="9" t="e">
        <f>SUM(#REF!,#REF!,#REF!,#REF!)</f>
        <v>#REF!</v>
      </c>
      <c r="G17" s="80"/>
      <c r="H17" s="77" t="s">
        <v>42</v>
      </c>
    </row>
    <row r="18" spans="1:8">
      <c r="A18" s="51"/>
      <c r="B18" s="8"/>
      <c r="C18" s="79"/>
      <c r="D18" s="8"/>
      <c r="E18" s="79"/>
      <c r="F18" s="8"/>
      <c r="G18" s="79"/>
      <c r="H18" s="77"/>
    </row>
    <row r="19" spans="1:8">
      <c r="A19" s="1"/>
      <c r="B19" s="5"/>
      <c r="C19" s="79"/>
      <c r="D19" s="5"/>
      <c r="E19" s="79"/>
      <c r="F19" s="5"/>
      <c r="G19" s="79"/>
      <c r="H19" s="78"/>
    </row>
    <row r="20" spans="1:8">
      <c r="A20" s="51"/>
      <c r="B20" s="75" t="e">
        <f>SUM(#REF!,#REF!,#REF!,#REF!)</f>
        <v>#REF!</v>
      </c>
      <c r="C20" s="79"/>
      <c r="D20" s="75" t="e">
        <f>SUM(#REF!,#REF!,#REF!,#REF!)</f>
        <v>#REF!</v>
      </c>
      <c r="E20" s="79"/>
      <c r="F20" s="75" t="e">
        <f>SUM(#REF!,#REF!,#REF!,#REF!)</f>
        <v>#REF!</v>
      </c>
      <c r="G20" s="79"/>
      <c r="H20" s="78"/>
    </row>
    <row r="21" spans="1:8">
      <c r="A21" s="1"/>
      <c r="B21" s="10"/>
      <c r="C21" s="79"/>
      <c r="D21" s="10"/>
      <c r="E21" s="79"/>
      <c r="F21" s="10"/>
      <c r="G21" s="79"/>
      <c r="H21" s="81"/>
    </row>
  </sheetData>
  <sheetProtection password="E5A3" sheet="1" objects="1" scenarios="1"/>
  <customSheetViews>
    <customSheetView guid="{293A8923-ED08-4701-85A2-A97D5F3D44EF}" hiddenColumns="1" state="hidden">
      <selection activeCell="A2" sqref="A2"/>
      <pageMargins left="0.7" right="0.7" top="0.75" bottom="0.75" header="0.3" footer="0.3"/>
      <pageSetup paperSize="9" orientation="portrait" r:id="rId1"/>
    </customSheetView>
  </customSheetViews>
  <mergeCells count="3">
    <mergeCell ref="B4:C4"/>
    <mergeCell ref="D4:E4"/>
    <mergeCell ref="F4:G4"/>
  </mergeCells>
  <phoneticPr fontId="1" type="noConversion"/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1"/>
  <sheetViews>
    <sheetView workbookViewId="0">
      <selection activeCell="BH8" sqref="BH8"/>
    </sheetView>
  </sheetViews>
  <sheetFormatPr defaultRowHeight="15.75"/>
  <cols>
    <col min="1" max="1" width="48.625" style="1" bestFit="1" customWidth="1"/>
    <col min="2" max="2" width="12.75" style="1" customWidth="1"/>
    <col min="3" max="3" width="8.875" style="2" customWidth="1"/>
    <col min="4" max="4" width="12.75" style="1" customWidth="1"/>
    <col min="5" max="5" width="8.875" style="2" customWidth="1"/>
    <col min="6" max="6" width="12.75" style="1" hidden="1" customWidth="1"/>
    <col min="7" max="7" width="8.875" style="2" hidden="1" customWidth="1"/>
    <col min="8" max="8" width="11.75" style="1" hidden="1" customWidth="1"/>
    <col min="9" max="9" width="8.125" style="2" hidden="1" customWidth="1"/>
    <col min="10" max="10" width="11.75" style="1" customWidth="1"/>
    <col min="11" max="11" width="8.125" style="2" customWidth="1"/>
    <col min="12" max="12" width="12.75" style="1" hidden="1" customWidth="1"/>
    <col min="13" max="13" width="8.875" style="2" hidden="1" customWidth="1"/>
    <col min="14" max="14" width="11.75" style="1" hidden="1" customWidth="1"/>
    <col min="15" max="15" width="6.25" style="2" hidden="1" customWidth="1"/>
    <col min="16" max="16" width="11.75" style="1" hidden="1" customWidth="1"/>
    <col min="17" max="17" width="6.25" style="2" hidden="1" customWidth="1"/>
    <col min="18" max="18" width="11.75" style="1" hidden="1" customWidth="1"/>
    <col min="19" max="19" width="6.25" style="2" hidden="1" customWidth="1"/>
    <col min="20" max="20" width="11.75" style="1" hidden="1" customWidth="1"/>
    <col min="21" max="21" width="6.25" style="2" hidden="1" customWidth="1"/>
    <col min="22" max="22" width="11.75" style="1" hidden="1" customWidth="1"/>
    <col min="23" max="23" width="6.25" style="2" hidden="1" customWidth="1"/>
    <col min="24" max="24" width="11.75" style="1" hidden="1" customWidth="1"/>
    <col min="25" max="25" width="6.25" style="2" hidden="1" customWidth="1"/>
    <col min="26" max="26" width="11.75" style="1" hidden="1" customWidth="1"/>
    <col min="27" max="27" width="6.25" style="2" hidden="1" customWidth="1"/>
    <col min="28" max="28" width="11.75" style="1" hidden="1" customWidth="1"/>
    <col min="29" max="29" width="6.25" style="2" hidden="1" customWidth="1"/>
    <col min="30" max="30" width="11.75" style="1" hidden="1" customWidth="1"/>
    <col min="31" max="31" width="6.25" style="2" hidden="1" customWidth="1"/>
    <col min="32" max="32" width="11.75" style="1" hidden="1" customWidth="1"/>
    <col min="33" max="33" width="6.25" style="2" hidden="1" customWidth="1"/>
    <col min="34" max="34" width="11.75" style="1" hidden="1" customWidth="1"/>
    <col min="35" max="35" width="6.25" style="2" hidden="1" customWidth="1"/>
    <col min="36" max="36" width="11.75" style="1" hidden="1" customWidth="1"/>
    <col min="37" max="37" width="6.25" style="2" hidden="1" customWidth="1"/>
    <col min="38" max="38" width="11.75" style="1" hidden="1" customWidth="1"/>
    <col min="39" max="39" width="6.25" style="2" hidden="1" customWidth="1"/>
    <col min="40" max="40" width="11.75" style="1" hidden="1" customWidth="1"/>
    <col min="41" max="41" width="6.25" style="2" hidden="1" customWidth="1"/>
    <col min="42" max="42" width="11.75" style="1" hidden="1" customWidth="1"/>
    <col min="43" max="43" width="6.25" style="2" hidden="1" customWidth="1"/>
    <col min="44" max="44" width="11.75" style="1" hidden="1" customWidth="1"/>
    <col min="45" max="45" width="6.25" style="2" hidden="1" customWidth="1"/>
    <col min="46" max="46" width="11.75" style="1" hidden="1" customWidth="1"/>
    <col min="47" max="47" width="6.25" style="2" hidden="1" customWidth="1"/>
    <col min="48" max="48" width="11.75" style="1" hidden="1" customWidth="1"/>
    <col min="49" max="49" width="6.25" style="2" hidden="1" customWidth="1"/>
    <col min="50" max="50" width="11.75" style="1" hidden="1" customWidth="1"/>
    <col min="51" max="51" width="6.25" style="2" hidden="1" customWidth="1"/>
    <col min="52" max="52" width="11.75" style="1" hidden="1" customWidth="1"/>
    <col min="53" max="53" width="6.25" style="2" hidden="1" customWidth="1"/>
    <col min="54" max="56" width="9" style="1" hidden="1" customWidth="1"/>
    <col min="57" max="57" width="2.125" style="1" customWidth="1"/>
    <col min="58" max="59" width="9.875" style="1" bestFit="1" customWidth="1"/>
    <col min="60" max="256" width="9" style="1"/>
    <col min="257" max="257" width="48.625" style="1" bestFit="1" customWidth="1"/>
    <col min="258" max="258" width="12.75" style="1" customWidth="1"/>
    <col min="259" max="259" width="8.875" style="1" customWidth="1"/>
    <col min="260" max="260" width="12.75" style="1" customWidth="1"/>
    <col min="261" max="261" width="8.875" style="1" customWidth="1"/>
    <col min="262" max="265" width="0" style="1" hidden="1" customWidth="1"/>
    <col min="266" max="266" width="11.75" style="1" customWidth="1"/>
    <col min="267" max="267" width="8.125" style="1" customWidth="1"/>
    <col min="268" max="312" width="0" style="1" hidden="1" customWidth="1"/>
    <col min="313" max="313" width="2.125" style="1" customWidth="1"/>
    <col min="314" max="315" width="9.875" style="1" bestFit="1" customWidth="1"/>
    <col min="316" max="512" width="9" style="1"/>
    <col min="513" max="513" width="48.625" style="1" bestFit="1" customWidth="1"/>
    <col min="514" max="514" width="12.75" style="1" customWidth="1"/>
    <col min="515" max="515" width="8.875" style="1" customWidth="1"/>
    <col min="516" max="516" width="12.75" style="1" customWidth="1"/>
    <col min="517" max="517" width="8.875" style="1" customWidth="1"/>
    <col min="518" max="521" width="0" style="1" hidden="1" customWidth="1"/>
    <col min="522" max="522" width="11.75" style="1" customWidth="1"/>
    <col min="523" max="523" width="8.125" style="1" customWidth="1"/>
    <col min="524" max="568" width="0" style="1" hidden="1" customWidth="1"/>
    <col min="569" max="569" width="2.125" style="1" customWidth="1"/>
    <col min="570" max="571" width="9.875" style="1" bestFit="1" customWidth="1"/>
    <col min="572" max="768" width="9" style="1"/>
    <col min="769" max="769" width="48.625" style="1" bestFit="1" customWidth="1"/>
    <col min="770" max="770" width="12.75" style="1" customWidth="1"/>
    <col min="771" max="771" width="8.875" style="1" customWidth="1"/>
    <col min="772" max="772" width="12.75" style="1" customWidth="1"/>
    <col min="773" max="773" width="8.875" style="1" customWidth="1"/>
    <col min="774" max="777" width="0" style="1" hidden="1" customWidth="1"/>
    <col min="778" max="778" width="11.75" style="1" customWidth="1"/>
    <col min="779" max="779" width="8.125" style="1" customWidth="1"/>
    <col min="780" max="824" width="0" style="1" hidden="1" customWidth="1"/>
    <col min="825" max="825" width="2.125" style="1" customWidth="1"/>
    <col min="826" max="827" width="9.875" style="1" bestFit="1" customWidth="1"/>
    <col min="828" max="1024" width="9" style="1"/>
    <col min="1025" max="1025" width="48.625" style="1" bestFit="1" customWidth="1"/>
    <col min="1026" max="1026" width="12.75" style="1" customWidth="1"/>
    <col min="1027" max="1027" width="8.875" style="1" customWidth="1"/>
    <col min="1028" max="1028" width="12.75" style="1" customWidth="1"/>
    <col min="1029" max="1029" width="8.875" style="1" customWidth="1"/>
    <col min="1030" max="1033" width="0" style="1" hidden="1" customWidth="1"/>
    <col min="1034" max="1034" width="11.75" style="1" customWidth="1"/>
    <col min="1035" max="1035" width="8.125" style="1" customWidth="1"/>
    <col min="1036" max="1080" width="0" style="1" hidden="1" customWidth="1"/>
    <col min="1081" max="1081" width="2.125" style="1" customWidth="1"/>
    <col min="1082" max="1083" width="9.875" style="1" bestFit="1" customWidth="1"/>
    <col min="1084" max="1280" width="9" style="1"/>
    <col min="1281" max="1281" width="48.625" style="1" bestFit="1" customWidth="1"/>
    <col min="1282" max="1282" width="12.75" style="1" customWidth="1"/>
    <col min="1283" max="1283" width="8.875" style="1" customWidth="1"/>
    <col min="1284" max="1284" width="12.75" style="1" customWidth="1"/>
    <col min="1285" max="1285" width="8.875" style="1" customWidth="1"/>
    <col min="1286" max="1289" width="0" style="1" hidden="1" customWidth="1"/>
    <col min="1290" max="1290" width="11.75" style="1" customWidth="1"/>
    <col min="1291" max="1291" width="8.125" style="1" customWidth="1"/>
    <col min="1292" max="1336" width="0" style="1" hidden="1" customWidth="1"/>
    <col min="1337" max="1337" width="2.125" style="1" customWidth="1"/>
    <col min="1338" max="1339" width="9.875" style="1" bestFit="1" customWidth="1"/>
    <col min="1340" max="1536" width="9" style="1"/>
    <col min="1537" max="1537" width="48.625" style="1" bestFit="1" customWidth="1"/>
    <col min="1538" max="1538" width="12.75" style="1" customWidth="1"/>
    <col min="1539" max="1539" width="8.875" style="1" customWidth="1"/>
    <col min="1540" max="1540" width="12.75" style="1" customWidth="1"/>
    <col min="1541" max="1541" width="8.875" style="1" customWidth="1"/>
    <col min="1542" max="1545" width="0" style="1" hidden="1" customWidth="1"/>
    <col min="1546" max="1546" width="11.75" style="1" customWidth="1"/>
    <col min="1547" max="1547" width="8.125" style="1" customWidth="1"/>
    <col min="1548" max="1592" width="0" style="1" hidden="1" customWidth="1"/>
    <col min="1593" max="1593" width="2.125" style="1" customWidth="1"/>
    <col min="1594" max="1595" width="9.875" style="1" bestFit="1" customWidth="1"/>
    <col min="1596" max="1792" width="9" style="1"/>
    <col min="1793" max="1793" width="48.625" style="1" bestFit="1" customWidth="1"/>
    <col min="1794" max="1794" width="12.75" style="1" customWidth="1"/>
    <col min="1795" max="1795" width="8.875" style="1" customWidth="1"/>
    <col min="1796" max="1796" width="12.75" style="1" customWidth="1"/>
    <col min="1797" max="1797" width="8.875" style="1" customWidth="1"/>
    <col min="1798" max="1801" width="0" style="1" hidden="1" customWidth="1"/>
    <col min="1802" max="1802" width="11.75" style="1" customWidth="1"/>
    <col min="1803" max="1803" width="8.125" style="1" customWidth="1"/>
    <col min="1804" max="1848" width="0" style="1" hidden="1" customWidth="1"/>
    <col min="1849" max="1849" width="2.125" style="1" customWidth="1"/>
    <col min="1850" max="1851" width="9.875" style="1" bestFit="1" customWidth="1"/>
    <col min="1852" max="2048" width="9" style="1"/>
    <col min="2049" max="2049" width="48.625" style="1" bestFit="1" customWidth="1"/>
    <col min="2050" max="2050" width="12.75" style="1" customWidth="1"/>
    <col min="2051" max="2051" width="8.875" style="1" customWidth="1"/>
    <col min="2052" max="2052" width="12.75" style="1" customWidth="1"/>
    <col min="2053" max="2053" width="8.875" style="1" customWidth="1"/>
    <col min="2054" max="2057" width="0" style="1" hidden="1" customWidth="1"/>
    <col min="2058" max="2058" width="11.75" style="1" customWidth="1"/>
    <col min="2059" max="2059" width="8.125" style="1" customWidth="1"/>
    <col min="2060" max="2104" width="0" style="1" hidden="1" customWidth="1"/>
    <col min="2105" max="2105" width="2.125" style="1" customWidth="1"/>
    <col min="2106" max="2107" width="9.875" style="1" bestFit="1" customWidth="1"/>
    <col min="2108" max="2304" width="9" style="1"/>
    <col min="2305" max="2305" width="48.625" style="1" bestFit="1" customWidth="1"/>
    <col min="2306" max="2306" width="12.75" style="1" customWidth="1"/>
    <col min="2307" max="2307" width="8.875" style="1" customWidth="1"/>
    <col min="2308" max="2308" width="12.75" style="1" customWidth="1"/>
    <col min="2309" max="2309" width="8.875" style="1" customWidth="1"/>
    <col min="2310" max="2313" width="0" style="1" hidden="1" customWidth="1"/>
    <col min="2314" max="2314" width="11.75" style="1" customWidth="1"/>
    <col min="2315" max="2315" width="8.125" style="1" customWidth="1"/>
    <col min="2316" max="2360" width="0" style="1" hidden="1" customWidth="1"/>
    <col min="2361" max="2361" width="2.125" style="1" customWidth="1"/>
    <col min="2362" max="2363" width="9.875" style="1" bestFit="1" customWidth="1"/>
    <col min="2364" max="2560" width="9" style="1"/>
    <col min="2561" max="2561" width="48.625" style="1" bestFit="1" customWidth="1"/>
    <col min="2562" max="2562" width="12.75" style="1" customWidth="1"/>
    <col min="2563" max="2563" width="8.875" style="1" customWidth="1"/>
    <col min="2564" max="2564" width="12.75" style="1" customWidth="1"/>
    <col min="2565" max="2565" width="8.875" style="1" customWidth="1"/>
    <col min="2566" max="2569" width="0" style="1" hidden="1" customWidth="1"/>
    <col min="2570" max="2570" width="11.75" style="1" customWidth="1"/>
    <col min="2571" max="2571" width="8.125" style="1" customWidth="1"/>
    <col min="2572" max="2616" width="0" style="1" hidden="1" customWidth="1"/>
    <col min="2617" max="2617" width="2.125" style="1" customWidth="1"/>
    <col min="2618" max="2619" width="9.875" style="1" bestFit="1" customWidth="1"/>
    <col min="2620" max="2816" width="9" style="1"/>
    <col min="2817" max="2817" width="48.625" style="1" bestFit="1" customWidth="1"/>
    <col min="2818" max="2818" width="12.75" style="1" customWidth="1"/>
    <col min="2819" max="2819" width="8.875" style="1" customWidth="1"/>
    <col min="2820" max="2820" width="12.75" style="1" customWidth="1"/>
    <col min="2821" max="2821" width="8.875" style="1" customWidth="1"/>
    <col min="2822" max="2825" width="0" style="1" hidden="1" customWidth="1"/>
    <col min="2826" max="2826" width="11.75" style="1" customWidth="1"/>
    <col min="2827" max="2827" width="8.125" style="1" customWidth="1"/>
    <col min="2828" max="2872" width="0" style="1" hidden="1" customWidth="1"/>
    <col min="2873" max="2873" width="2.125" style="1" customWidth="1"/>
    <col min="2874" max="2875" width="9.875" style="1" bestFit="1" customWidth="1"/>
    <col min="2876" max="3072" width="9" style="1"/>
    <col min="3073" max="3073" width="48.625" style="1" bestFit="1" customWidth="1"/>
    <col min="3074" max="3074" width="12.75" style="1" customWidth="1"/>
    <col min="3075" max="3075" width="8.875" style="1" customWidth="1"/>
    <col min="3076" max="3076" width="12.75" style="1" customWidth="1"/>
    <col min="3077" max="3077" width="8.875" style="1" customWidth="1"/>
    <col min="3078" max="3081" width="0" style="1" hidden="1" customWidth="1"/>
    <col min="3082" max="3082" width="11.75" style="1" customWidth="1"/>
    <col min="3083" max="3083" width="8.125" style="1" customWidth="1"/>
    <col min="3084" max="3128" width="0" style="1" hidden="1" customWidth="1"/>
    <col min="3129" max="3129" width="2.125" style="1" customWidth="1"/>
    <col min="3130" max="3131" width="9.875" style="1" bestFit="1" customWidth="1"/>
    <col min="3132" max="3328" width="9" style="1"/>
    <col min="3329" max="3329" width="48.625" style="1" bestFit="1" customWidth="1"/>
    <col min="3330" max="3330" width="12.75" style="1" customWidth="1"/>
    <col min="3331" max="3331" width="8.875" style="1" customWidth="1"/>
    <col min="3332" max="3332" width="12.75" style="1" customWidth="1"/>
    <col min="3333" max="3333" width="8.875" style="1" customWidth="1"/>
    <col min="3334" max="3337" width="0" style="1" hidden="1" customWidth="1"/>
    <col min="3338" max="3338" width="11.75" style="1" customWidth="1"/>
    <col min="3339" max="3339" width="8.125" style="1" customWidth="1"/>
    <col min="3340" max="3384" width="0" style="1" hidden="1" customWidth="1"/>
    <col min="3385" max="3385" width="2.125" style="1" customWidth="1"/>
    <col min="3386" max="3387" width="9.875" style="1" bestFit="1" customWidth="1"/>
    <col min="3388" max="3584" width="9" style="1"/>
    <col min="3585" max="3585" width="48.625" style="1" bestFit="1" customWidth="1"/>
    <col min="3586" max="3586" width="12.75" style="1" customWidth="1"/>
    <col min="3587" max="3587" width="8.875" style="1" customWidth="1"/>
    <col min="3588" max="3588" width="12.75" style="1" customWidth="1"/>
    <col min="3589" max="3589" width="8.875" style="1" customWidth="1"/>
    <col min="3590" max="3593" width="0" style="1" hidden="1" customWidth="1"/>
    <col min="3594" max="3594" width="11.75" style="1" customWidth="1"/>
    <col min="3595" max="3595" width="8.125" style="1" customWidth="1"/>
    <col min="3596" max="3640" width="0" style="1" hidden="1" customWidth="1"/>
    <col min="3641" max="3641" width="2.125" style="1" customWidth="1"/>
    <col min="3642" max="3643" width="9.875" style="1" bestFit="1" customWidth="1"/>
    <col min="3644" max="3840" width="9" style="1"/>
    <col min="3841" max="3841" width="48.625" style="1" bestFit="1" customWidth="1"/>
    <col min="3842" max="3842" width="12.75" style="1" customWidth="1"/>
    <col min="3843" max="3843" width="8.875" style="1" customWidth="1"/>
    <col min="3844" max="3844" width="12.75" style="1" customWidth="1"/>
    <col min="3845" max="3845" width="8.875" style="1" customWidth="1"/>
    <col min="3846" max="3849" width="0" style="1" hidden="1" customWidth="1"/>
    <col min="3850" max="3850" width="11.75" style="1" customWidth="1"/>
    <col min="3851" max="3851" width="8.125" style="1" customWidth="1"/>
    <col min="3852" max="3896" width="0" style="1" hidden="1" customWidth="1"/>
    <col min="3897" max="3897" width="2.125" style="1" customWidth="1"/>
    <col min="3898" max="3899" width="9.875" style="1" bestFit="1" customWidth="1"/>
    <col min="3900" max="4096" width="9" style="1"/>
    <col min="4097" max="4097" width="48.625" style="1" bestFit="1" customWidth="1"/>
    <col min="4098" max="4098" width="12.75" style="1" customWidth="1"/>
    <col min="4099" max="4099" width="8.875" style="1" customWidth="1"/>
    <col min="4100" max="4100" width="12.75" style="1" customWidth="1"/>
    <col min="4101" max="4101" width="8.875" style="1" customWidth="1"/>
    <col min="4102" max="4105" width="0" style="1" hidden="1" customWidth="1"/>
    <col min="4106" max="4106" width="11.75" style="1" customWidth="1"/>
    <col min="4107" max="4107" width="8.125" style="1" customWidth="1"/>
    <col min="4108" max="4152" width="0" style="1" hidden="1" customWidth="1"/>
    <col min="4153" max="4153" width="2.125" style="1" customWidth="1"/>
    <col min="4154" max="4155" width="9.875" style="1" bestFit="1" customWidth="1"/>
    <col min="4156" max="4352" width="9" style="1"/>
    <col min="4353" max="4353" width="48.625" style="1" bestFit="1" customWidth="1"/>
    <col min="4354" max="4354" width="12.75" style="1" customWidth="1"/>
    <col min="4355" max="4355" width="8.875" style="1" customWidth="1"/>
    <col min="4356" max="4356" width="12.75" style="1" customWidth="1"/>
    <col min="4357" max="4357" width="8.875" style="1" customWidth="1"/>
    <col min="4358" max="4361" width="0" style="1" hidden="1" customWidth="1"/>
    <col min="4362" max="4362" width="11.75" style="1" customWidth="1"/>
    <col min="4363" max="4363" width="8.125" style="1" customWidth="1"/>
    <col min="4364" max="4408" width="0" style="1" hidden="1" customWidth="1"/>
    <col min="4409" max="4409" width="2.125" style="1" customWidth="1"/>
    <col min="4410" max="4411" width="9.875" style="1" bestFit="1" customWidth="1"/>
    <col min="4412" max="4608" width="9" style="1"/>
    <col min="4609" max="4609" width="48.625" style="1" bestFit="1" customWidth="1"/>
    <col min="4610" max="4610" width="12.75" style="1" customWidth="1"/>
    <col min="4611" max="4611" width="8.875" style="1" customWidth="1"/>
    <col min="4612" max="4612" width="12.75" style="1" customWidth="1"/>
    <col min="4613" max="4613" width="8.875" style="1" customWidth="1"/>
    <col min="4614" max="4617" width="0" style="1" hidden="1" customWidth="1"/>
    <col min="4618" max="4618" width="11.75" style="1" customWidth="1"/>
    <col min="4619" max="4619" width="8.125" style="1" customWidth="1"/>
    <col min="4620" max="4664" width="0" style="1" hidden="1" customWidth="1"/>
    <col min="4665" max="4665" width="2.125" style="1" customWidth="1"/>
    <col min="4666" max="4667" width="9.875" style="1" bestFit="1" customWidth="1"/>
    <col min="4668" max="4864" width="9" style="1"/>
    <col min="4865" max="4865" width="48.625" style="1" bestFit="1" customWidth="1"/>
    <col min="4866" max="4866" width="12.75" style="1" customWidth="1"/>
    <col min="4867" max="4867" width="8.875" style="1" customWidth="1"/>
    <col min="4868" max="4868" width="12.75" style="1" customWidth="1"/>
    <col min="4869" max="4869" width="8.875" style="1" customWidth="1"/>
    <col min="4870" max="4873" width="0" style="1" hidden="1" customWidth="1"/>
    <col min="4874" max="4874" width="11.75" style="1" customWidth="1"/>
    <col min="4875" max="4875" width="8.125" style="1" customWidth="1"/>
    <col min="4876" max="4920" width="0" style="1" hidden="1" customWidth="1"/>
    <col min="4921" max="4921" width="2.125" style="1" customWidth="1"/>
    <col min="4922" max="4923" width="9.875" style="1" bestFit="1" customWidth="1"/>
    <col min="4924" max="5120" width="9" style="1"/>
    <col min="5121" max="5121" width="48.625" style="1" bestFit="1" customWidth="1"/>
    <col min="5122" max="5122" width="12.75" style="1" customWidth="1"/>
    <col min="5123" max="5123" width="8.875" style="1" customWidth="1"/>
    <col min="5124" max="5124" width="12.75" style="1" customWidth="1"/>
    <col min="5125" max="5125" width="8.875" style="1" customWidth="1"/>
    <col min="5126" max="5129" width="0" style="1" hidden="1" customWidth="1"/>
    <col min="5130" max="5130" width="11.75" style="1" customWidth="1"/>
    <col min="5131" max="5131" width="8.125" style="1" customWidth="1"/>
    <col min="5132" max="5176" width="0" style="1" hidden="1" customWidth="1"/>
    <col min="5177" max="5177" width="2.125" style="1" customWidth="1"/>
    <col min="5178" max="5179" width="9.875" style="1" bestFit="1" customWidth="1"/>
    <col min="5180" max="5376" width="9" style="1"/>
    <col min="5377" max="5377" width="48.625" style="1" bestFit="1" customWidth="1"/>
    <col min="5378" max="5378" width="12.75" style="1" customWidth="1"/>
    <col min="5379" max="5379" width="8.875" style="1" customWidth="1"/>
    <col min="5380" max="5380" width="12.75" style="1" customWidth="1"/>
    <col min="5381" max="5381" width="8.875" style="1" customWidth="1"/>
    <col min="5382" max="5385" width="0" style="1" hidden="1" customWidth="1"/>
    <col min="5386" max="5386" width="11.75" style="1" customWidth="1"/>
    <col min="5387" max="5387" width="8.125" style="1" customWidth="1"/>
    <col min="5388" max="5432" width="0" style="1" hidden="1" customWidth="1"/>
    <col min="5433" max="5433" width="2.125" style="1" customWidth="1"/>
    <col min="5434" max="5435" width="9.875" style="1" bestFit="1" customWidth="1"/>
    <col min="5436" max="5632" width="9" style="1"/>
    <col min="5633" max="5633" width="48.625" style="1" bestFit="1" customWidth="1"/>
    <col min="5634" max="5634" width="12.75" style="1" customWidth="1"/>
    <col min="5635" max="5635" width="8.875" style="1" customWidth="1"/>
    <col min="5636" max="5636" width="12.75" style="1" customWidth="1"/>
    <col min="5637" max="5637" width="8.875" style="1" customWidth="1"/>
    <col min="5638" max="5641" width="0" style="1" hidden="1" customWidth="1"/>
    <col min="5642" max="5642" width="11.75" style="1" customWidth="1"/>
    <col min="5643" max="5643" width="8.125" style="1" customWidth="1"/>
    <col min="5644" max="5688" width="0" style="1" hidden="1" customWidth="1"/>
    <col min="5689" max="5689" width="2.125" style="1" customWidth="1"/>
    <col min="5690" max="5691" width="9.875" style="1" bestFit="1" customWidth="1"/>
    <col min="5692" max="5888" width="9" style="1"/>
    <col min="5889" max="5889" width="48.625" style="1" bestFit="1" customWidth="1"/>
    <col min="5890" max="5890" width="12.75" style="1" customWidth="1"/>
    <col min="5891" max="5891" width="8.875" style="1" customWidth="1"/>
    <col min="5892" max="5892" width="12.75" style="1" customWidth="1"/>
    <col min="5893" max="5893" width="8.875" style="1" customWidth="1"/>
    <col min="5894" max="5897" width="0" style="1" hidden="1" customWidth="1"/>
    <col min="5898" max="5898" width="11.75" style="1" customWidth="1"/>
    <col min="5899" max="5899" width="8.125" style="1" customWidth="1"/>
    <col min="5900" max="5944" width="0" style="1" hidden="1" customWidth="1"/>
    <col min="5945" max="5945" width="2.125" style="1" customWidth="1"/>
    <col min="5946" max="5947" width="9.875" style="1" bestFit="1" customWidth="1"/>
    <col min="5948" max="6144" width="9" style="1"/>
    <col min="6145" max="6145" width="48.625" style="1" bestFit="1" customWidth="1"/>
    <col min="6146" max="6146" width="12.75" style="1" customWidth="1"/>
    <col min="6147" max="6147" width="8.875" style="1" customWidth="1"/>
    <col min="6148" max="6148" width="12.75" style="1" customWidth="1"/>
    <col min="6149" max="6149" width="8.875" style="1" customWidth="1"/>
    <col min="6150" max="6153" width="0" style="1" hidden="1" customWidth="1"/>
    <col min="6154" max="6154" width="11.75" style="1" customWidth="1"/>
    <col min="6155" max="6155" width="8.125" style="1" customWidth="1"/>
    <col min="6156" max="6200" width="0" style="1" hidden="1" customWidth="1"/>
    <col min="6201" max="6201" width="2.125" style="1" customWidth="1"/>
    <col min="6202" max="6203" width="9.875" style="1" bestFit="1" customWidth="1"/>
    <col min="6204" max="6400" width="9" style="1"/>
    <col min="6401" max="6401" width="48.625" style="1" bestFit="1" customWidth="1"/>
    <col min="6402" max="6402" width="12.75" style="1" customWidth="1"/>
    <col min="6403" max="6403" width="8.875" style="1" customWidth="1"/>
    <col min="6404" max="6404" width="12.75" style="1" customWidth="1"/>
    <col min="6405" max="6405" width="8.875" style="1" customWidth="1"/>
    <col min="6406" max="6409" width="0" style="1" hidden="1" customWidth="1"/>
    <col min="6410" max="6410" width="11.75" style="1" customWidth="1"/>
    <col min="6411" max="6411" width="8.125" style="1" customWidth="1"/>
    <col min="6412" max="6456" width="0" style="1" hidden="1" customWidth="1"/>
    <col min="6457" max="6457" width="2.125" style="1" customWidth="1"/>
    <col min="6458" max="6459" width="9.875" style="1" bestFit="1" customWidth="1"/>
    <col min="6460" max="6656" width="9" style="1"/>
    <col min="6657" max="6657" width="48.625" style="1" bestFit="1" customWidth="1"/>
    <col min="6658" max="6658" width="12.75" style="1" customWidth="1"/>
    <col min="6659" max="6659" width="8.875" style="1" customWidth="1"/>
    <col min="6660" max="6660" width="12.75" style="1" customWidth="1"/>
    <col min="6661" max="6661" width="8.875" style="1" customWidth="1"/>
    <col min="6662" max="6665" width="0" style="1" hidden="1" customWidth="1"/>
    <col min="6666" max="6666" width="11.75" style="1" customWidth="1"/>
    <col min="6667" max="6667" width="8.125" style="1" customWidth="1"/>
    <col min="6668" max="6712" width="0" style="1" hidden="1" customWidth="1"/>
    <col min="6713" max="6713" width="2.125" style="1" customWidth="1"/>
    <col min="6714" max="6715" width="9.875" style="1" bestFit="1" customWidth="1"/>
    <col min="6716" max="6912" width="9" style="1"/>
    <col min="6913" max="6913" width="48.625" style="1" bestFit="1" customWidth="1"/>
    <col min="6914" max="6914" width="12.75" style="1" customWidth="1"/>
    <col min="6915" max="6915" width="8.875" style="1" customWidth="1"/>
    <col min="6916" max="6916" width="12.75" style="1" customWidth="1"/>
    <col min="6917" max="6917" width="8.875" style="1" customWidth="1"/>
    <col min="6918" max="6921" width="0" style="1" hidden="1" customWidth="1"/>
    <col min="6922" max="6922" width="11.75" style="1" customWidth="1"/>
    <col min="6923" max="6923" width="8.125" style="1" customWidth="1"/>
    <col min="6924" max="6968" width="0" style="1" hidden="1" customWidth="1"/>
    <col min="6969" max="6969" width="2.125" style="1" customWidth="1"/>
    <col min="6970" max="6971" width="9.875" style="1" bestFit="1" customWidth="1"/>
    <col min="6972" max="7168" width="9" style="1"/>
    <col min="7169" max="7169" width="48.625" style="1" bestFit="1" customWidth="1"/>
    <col min="7170" max="7170" width="12.75" style="1" customWidth="1"/>
    <col min="7171" max="7171" width="8.875" style="1" customWidth="1"/>
    <col min="7172" max="7172" width="12.75" style="1" customWidth="1"/>
    <col min="7173" max="7173" width="8.875" style="1" customWidth="1"/>
    <col min="7174" max="7177" width="0" style="1" hidden="1" customWidth="1"/>
    <col min="7178" max="7178" width="11.75" style="1" customWidth="1"/>
    <col min="7179" max="7179" width="8.125" style="1" customWidth="1"/>
    <col min="7180" max="7224" width="0" style="1" hidden="1" customWidth="1"/>
    <col min="7225" max="7225" width="2.125" style="1" customWidth="1"/>
    <col min="7226" max="7227" width="9.875" style="1" bestFit="1" customWidth="1"/>
    <col min="7228" max="7424" width="9" style="1"/>
    <col min="7425" max="7425" width="48.625" style="1" bestFit="1" customWidth="1"/>
    <col min="7426" max="7426" width="12.75" style="1" customWidth="1"/>
    <col min="7427" max="7427" width="8.875" style="1" customWidth="1"/>
    <col min="7428" max="7428" width="12.75" style="1" customWidth="1"/>
    <col min="7429" max="7429" width="8.875" style="1" customWidth="1"/>
    <col min="7430" max="7433" width="0" style="1" hidden="1" customWidth="1"/>
    <col min="7434" max="7434" width="11.75" style="1" customWidth="1"/>
    <col min="7435" max="7435" width="8.125" style="1" customWidth="1"/>
    <col min="7436" max="7480" width="0" style="1" hidden="1" customWidth="1"/>
    <col min="7481" max="7481" width="2.125" style="1" customWidth="1"/>
    <col min="7482" max="7483" width="9.875" style="1" bestFit="1" customWidth="1"/>
    <col min="7484" max="7680" width="9" style="1"/>
    <col min="7681" max="7681" width="48.625" style="1" bestFit="1" customWidth="1"/>
    <col min="7682" max="7682" width="12.75" style="1" customWidth="1"/>
    <col min="7683" max="7683" width="8.875" style="1" customWidth="1"/>
    <col min="7684" max="7684" width="12.75" style="1" customWidth="1"/>
    <col min="7685" max="7685" width="8.875" style="1" customWidth="1"/>
    <col min="7686" max="7689" width="0" style="1" hidden="1" customWidth="1"/>
    <col min="7690" max="7690" width="11.75" style="1" customWidth="1"/>
    <col min="7691" max="7691" width="8.125" style="1" customWidth="1"/>
    <col min="7692" max="7736" width="0" style="1" hidden="1" customWidth="1"/>
    <col min="7737" max="7737" width="2.125" style="1" customWidth="1"/>
    <col min="7738" max="7739" width="9.875" style="1" bestFit="1" customWidth="1"/>
    <col min="7740" max="7936" width="9" style="1"/>
    <col min="7937" max="7937" width="48.625" style="1" bestFit="1" customWidth="1"/>
    <col min="7938" max="7938" width="12.75" style="1" customWidth="1"/>
    <col min="7939" max="7939" width="8.875" style="1" customWidth="1"/>
    <col min="7940" max="7940" width="12.75" style="1" customWidth="1"/>
    <col min="7941" max="7941" width="8.875" style="1" customWidth="1"/>
    <col min="7942" max="7945" width="0" style="1" hidden="1" customWidth="1"/>
    <col min="7946" max="7946" width="11.75" style="1" customWidth="1"/>
    <col min="7947" max="7947" width="8.125" style="1" customWidth="1"/>
    <col min="7948" max="7992" width="0" style="1" hidden="1" customWidth="1"/>
    <col min="7993" max="7993" width="2.125" style="1" customWidth="1"/>
    <col min="7994" max="7995" width="9.875" style="1" bestFit="1" customWidth="1"/>
    <col min="7996" max="8192" width="9" style="1"/>
    <col min="8193" max="8193" width="48.625" style="1" bestFit="1" customWidth="1"/>
    <col min="8194" max="8194" width="12.75" style="1" customWidth="1"/>
    <col min="8195" max="8195" width="8.875" style="1" customWidth="1"/>
    <col min="8196" max="8196" width="12.75" style="1" customWidth="1"/>
    <col min="8197" max="8197" width="8.875" style="1" customWidth="1"/>
    <col min="8198" max="8201" width="0" style="1" hidden="1" customWidth="1"/>
    <col min="8202" max="8202" width="11.75" style="1" customWidth="1"/>
    <col min="8203" max="8203" width="8.125" style="1" customWidth="1"/>
    <col min="8204" max="8248" width="0" style="1" hidden="1" customWidth="1"/>
    <col min="8249" max="8249" width="2.125" style="1" customWidth="1"/>
    <col min="8250" max="8251" width="9.875" style="1" bestFit="1" customWidth="1"/>
    <col min="8252" max="8448" width="9" style="1"/>
    <col min="8449" max="8449" width="48.625" style="1" bestFit="1" customWidth="1"/>
    <col min="8450" max="8450" width="12.75" style="1" customWidth="1"/>
    <col min="8451" max="8451" width="8.875" style="1" customWidth="1"/>
    <col min="8452" max="8452" width="12.75" style="1" customWidth="1"/>
    <col min="8453" max="8453" width="8.875" style="1" customWidth="1"/>
    <col min="8454" max="8457" width="0" style="1" hidden="1" customWidth="1"/>
    <col min="8458" max="8458" width="11.75" style="1" customWidth="1"/>
    <col min="8459" max="8459" width="8.125" style="1" customWidth="1"/>
    <col min="8460" max="8504" width="0" style="1" hidden="1" customWidth="1"/>
    <col min="8505" max="8505" width="2.125" style="1" customWidth="1"/>
    <col min="8506" max="8507" width="9.875" style="1" bestFit="1" customWidth="1"/>
    <col min="8508" max="8704" width="9" style="1"/>
    <col min="8705" max="8705" width="48.625" style="1" bestFit="1" customWidth="1"/>
    <col min="8706" max="8706" width="12.75" style="1" customWidth="1"/>
    <col min="8707" max="8707" width="8.875" style="1" customWidth="1"/>
    <col min="8708" max="8708" width="12.75" style="1" customWidth="1"/>
    <col min="8709" max="8709" width="8.875" style="1" customWidth="1"/>
    <col min="8710" max="8713" width="0" style="1" hidden="1" customWidth="1"/>
    <col min="8714" max="8714" width="11.75" style="1" customWidth="1"/>
    <col min="8715" max="8715" width="8.125" style="1" customWidth="1"/>
    <col min="8716" max="8760" width="0" style="1" hidden="1" customWidth="1"/>
    <col min="8761" max="8761" width="2.125" style="1" customWidth="1"/>
    <col min="8762" max="8763" width="9.875" style="1" bestFit="1" customWidth="1"/>
    <col min="8764" max="8960" width="9" style="1"/>
    <col min="8961" max="8961" width="48.625" style="1" bestFit="1" customWidth="1"/>
    <col min="8962" max="8962" width="12.75" style="1" customWidth="1"/>
    <col min="8963" max="8963" width="8.875" style="1" customWidth="1"/>
    <col min="8964" max="8964" width="12.75" style="1" customWidth="1"/>
    <col min="8965" max="8965" width="8.875" style="1" customWidth="1"/>
    <col min="8966" max="8969" width="0" style="1" hidden="1" customWidth="1"/>
    <col min="8970" max="8970" width="11.75" style="1" customWidth="1"/>
    <col min="8971" max="8971" width="8.125" style="1" customWidth="1"/>
    <col min="8972" max="9016" width="0" style="1" hidden="1" customWidth="1"/>
    <col min="9017" max="9017" width="2.125" style="1" customWidth="1"/>
    <col min="9018" max="9019" width="9.875" style="1" bestFit="1" customWidth="1"/>
    <col min="9020" max="9216" width="9" style="1"/>
    <col min="9217" max="9217" width="48.625" style="1" bestFit="1" customWidth="1"/>
    <col min="9218" max="9218" width="12.75" style="1" customWidth="1"/>
    <col min="9219" max="9219" width="8.875" style="1" customWidth="1"/>
    <col min="9220" max="9220" width="12.75" style="1" customWidth="1"/>
    <col min="9221" max="9221" width="8.875" style="1" customWidth="1"/>
    <col min="9222" max="9225" width="0" style="1" hidden="1" customWidth="1"/>
    <col min="9226" max="9226" width="11.75" style="1" customWidth="1"/>
    <col min="9227" max="9227" width="8.125" style="1" customWidth="1"/>
    <col min="9228" max="9272" width="0" style="1" hidden="1" customWidth="1"/>
    <col min="9273" max="9273" width="2.125" style="1" customWidth="1"/>
    <col min="9274" max="9275" width="9.875" style="1" bestFit="1" customWidth="1"/>
    <col min="9276" max="9472" width="9" style="1"/>
    <col min="9473" max="9473" width="48.625" style="1" bestFit="1" customWidth="1"/>
    <col min="9474" max="9474" width="12.75" style="1" customWidth="1"/>
    <col min="9475" max="9475" width="8.875" style="1" customWidth="1"/>
    <col min="9476" max="9476" width="12.75" style="1" customWidth="1"/>
    <col min="9477" max="9477" width="8.875" style="1" customWidth="1"/>
    <col min="9478" max="9481" width="0" style="1" hidden="1" customWidth="1"/>
    <col min="9482" max="9482" width="11.75" style="1" customWidth="1"/>
    <col min="9483" max="9483" width="8.125" style="1" customWidth="1"/>
    <col min="9484" max="9528" width="0" style="1" hidden="1" customWidth="1"/>
    <col min="9529" max="9529" width="2.125" style="1" customWidth="1"/>
    <col min="9530" max="9531" width="9.875" style="1" bestFit="1" customWidth="1"/>
    <col min="9532" max="9728" width="9" style="1"/>
    <col min="9729" max="9729" width="48.625" style="1" bestFit="1" customWidth="1"/>
    <col min="9730" max="9730" width="12.75" style="1" customWidth="1"/>
    <col min="9731" max="9731" width="8.875" style="1" customWidth="1"/>
    <col min="9732" max="9732" width="12.75" style="1" customWidth="1"/>
    <col min="9733" max="9733" width="8.875" style="1" customWidth="1"/>
    <col min="9734" max="9737" width="0" style="1" hidden="1" customWidth="1"/>
    <col min="9738" max="9738" width="11.75" style="1" customWidth="1"/>
    <col min="9739" max="9739" width="8.125" style="1" customWidth="1"/>
    <col min="9740" max="9784" width="0" style="1" hidden="1" customWidth="1"/>
    <col min="9785" max="9785" width="2.125" style="1" customWidth="1"/>
    <col min="9786" max="9787" width="9.875" style="1" bestFit="1" customWidth="1"/>
    <col min="9788" max="9984" width="9" style="1"/>
    <col min="9985" max="9985" width="48.625" style="1" bestFit="1" customWidth="1"/>
    <col min="9986" max="9986" width="12.75" style="1" customWidth="1"/>
    <col min="9987" max="9987" width="8.875" style="1" customWidth="1"/>
    <col min="9988" max="9988" width="12.75" style="1" customWidth="1"/>
    <col min="9989" max="9989" width="8.875" style="1" customWidth="1"/>
    <col min="9990" max="9993" width="0" style="1" hidden="1" customWidth="1"/>
    <col min="9994" max="9994" width="11.75" style="1" customWidth="1"/>
    <col min="9995" max="9995" width="8.125" style="1" customWidth="1"/>
    <col min="9996" max="10040" width="0" style="1" hidden="1" customWidth="1"/>
    <col min="10041" max="10041" width="2.125" style="1" customWidth="1"/>
    <col min="10042" max="10043" width="9.875" style="1" bestFit="1" customWidth="1"/>
    <col min="10044" max="10240" width="9" style="1"/>
    <col min="10241" max="10241" width="48.625" style="1" bestFit="1" customWidth="1"/>
    <col min="10242" max="10242" width="12.75" style="1" customWidth="1"/>
    <col min="10243" max="10243" width="8.875" style="1" customWidth="1"/>
    <col min="10244" max="10244" width="12.75" style="1" customWidth="1"/>
    <col min="10245" max="10245" width="8.875" style="1" customWidth="1"/>
    <col min="10246" max="10249" width="0" style="1" hidden="1" customWidth="1"/>
    <col min="10250" max="10250" width="11.75" style="1" customWidth="1"/>
    <col min="10251" max="10251" width="8.125" style="1" customWidth="1"/>
    <col min="10252" max="10296" width="0" style="1" hidden="1" customWidth="1"/>
    <col min="10297" max="10297" width="2.125" style="1" customWidth="1"/>
    <col min="10298" max="10299" width="9.875" style="1" bestFit="1" customWidth="1"/>
    <col min="10300" max="10496" width="9" style="1"/>
    <col min="10497" max="10497" width="48.625" style="1" bestFit="1" customWidth="1"/>
    <col min="10498" max="10498" width="12.75" style="1" customWidth="1"/>
    <col min="10499" max="10499" width="8.875" style="1" customWidth="1"/>
    <col min="10500" max="10500" width="12.75" style="1" customWidth="1"/>
    <col min="10501" max="10501" width="8.875" style="1" customWidth="1"/>
    <col min="10502" max="10505" width="0" style="1" hidden="1" customWidth="1"/>
    <col min="10506" max="10506" width="11.75" style="1" customWidth="1"/>
    <col min="10507" max="10507" width="8.125" style="1" customWidth="1"/>
    <col min="10508" max="10552" width="0" style="1" hidden="1" customWidth="1"/>
    <col min="10553" max="10553" width="2.125" style="1" customWidth="1"/>
    <col min="10554" max="10555" width="9.875" style="1" bestFit="1" customWidth="1"/>
    <col min="10556" max="10752" width="9" style="1"/>
    <col min="10753" max="10753" width="48.625" style="1" bestFit="1" customWidth="1"/>
    <col min="10754" max="10754" width="12.75" style="1" customWidth="1"/>
    <col min="10755" max="10755" width="8.875" style="1" customWidth="1"/>
    <col min="10756" max="10756" width="12.75" style="1" customWidth="1"/>
    <col min="10757" max="10757" width="8.875" style="1" customWidth="1"/>
    <col min="10758" max="10761" width="0" style="1" hidden="1" customWidth="1"/>
    <col min="10762" max="10762" width="11.75" style="1" customWidth="1"/>
    <col min="10763" max="10763" width="8.125" style="1" customWidth="1"/>
    <col min="10764" max="10808" width="0" style="1" hidden="1" customWidth="1"/>
    <col min="10809" max="10809" width="2.125" style="1" customWidth="1"/>
    <col min="10810" max="10811" width="9.875" style="1" bestFit="1" customWidth="1"/>
    <col min="10812" max="11008" width="9" style="1"/>
    <col min="11009" max="11009" width="48.625" style="1" bestFit="1" customWidth="1"/>
    <col min="11010" max="11010" width="12.75" style="1" customWidth="1"/>
    <col min="11011" max="11011" width="8.875" style="1" customWidth="1"/>
    <col min="11012" max="11012" width="12.75" style="1" customWidth="1"/>
    <col min="11013" max="11013" width="8.875" style="1" customWidth="1"/>
    <col min="11014" max="11017" width="0" style="1" hidden="1" customWidth="1"/>
    <col min="11018" max="11018" width="11.75" style="1" customWidth="1"/>
    <col min="11019" max="11019" width="8.125" style="1" customWidth="1"/>
    <col min="11020" max="11064" width="0" style="1" hidden="1" customWidth="1"/>
    <col min="11065" max="11065" width="2.125" style="1" customWidth="1"/>
    <col min="11066" max="11067" width="9.875" style="1" bestFit="1" customWidth="1"/>
    <col min="11068" max="11264" width="9" style="1"/>
    <col min="11265" max="11265" width="48.625" style="1" bestFit="1" customWidth="1"/>
    <col min="11266" max="11266" width="12.75" style="1" customWidth="1"/>
    <col min="11267" max="11267" width="8.875" style="1" customWidth="1"/>
    <col min="11268" max="11268" width="12.75" style="1" customWidth="1"/>
    <col min="11269" max="11269" width="8.875" style="1" customWidth="1"/>
    <col min="11270" max="11273" width="0" style="1" hidden="1" customWidth="1"/>
    <col min="11274" max="11274" width="11.75" style="1" customWidth="1"/>
    <col min="11275" max="11275" width="8.125" style="1" customWidth="1"/>
    <col min="11276" max="11320" width="0" style="1" hidden="1" customWidth="1"/>
    <col min="11321" max="11321" width="2.125" style="1" customWidth="1"/>
    <col min="11322" max="11323" width="9.875" style="1" bestFit="1" customWidth="1"/>
    <col min="11324" max="11520" width="9" style="1"/>
    <col min="11521" max="11521" width="48.625" style="1" bestFit="1" customWidth="1"/>
    <col min="11522" max="11522" width="12.75" style="1" customWidth="1"/>
    <col min="11523" max="11523" width="8.875" style="1" customWidth="1"/>
    <col min="11524" max="11524" width="12.75" style="1" customWidth="1"/>
    <col min="11525" max="11525" width="8.875" style="1" customWidth="1"/>
    <col min="11526" max="11529" width="0" style="1" hidden="1" customWidth="1"/>
    <col min="11530" max="11530" width="11.75" style="1" customWidth="1"/>
    <col min="11531" max="11531" width="8.125" style="1" customWidth="1"/>
    <col min="11532" max="11576" width="0" style="1" hidden="1" customWidth="1"/>
    <col min="11577" max="11577" width="2.125" style="1" customWidth="1"/>
    <col min="11578" max="11579" width="9.875" style="1" bestFit="1" customWidth="1"/>
    <col min="11580" max="11776" width="9" style="1"/>
    <col min="11777" max="11777" width="48.625" style="1" bestFit="1" customWidth="1"/>
    <col min="11778" max="11778" width="12.75" style="1" customWidth="1"/>
    <col min="11779" max="11779" width="8.875" style="1" customWidth="1"/>
    <col min="11780" max="11780" width="12.75" style="1" customWidth="1"/>
    <col min="11781" max="11781" width="8.875" style="1" customWidth="1"/>
    <col min="11782" max="11785" width="0" style="1" hidden="1" customWidth="1"/>
    <col min="11786" max="11786" width="11.75" style="1" customWidth="1"/>
    <col min="11787" max="11787" width="8.125" style="1" customWidth="1"/>
    <col min="11788" max="11832" width="0" style="1" hidden="1" customWidth="1"/>
    <col min="11833" max="11833" width="2.125" style="1" customWidth="1"/>
    <col min="11834" max="11835" width="9.875" style="1" bestFit="1" customWidth="1"/>
    <col min="11836" max="12032" width="9" style="1"/>
    <col min="12033" max="12033" width="48.625" style="1" bestFit="1" customWidth="1"/>
    <col min="12034" max="12034" width="12.75" style="1" customWidth="1"/>
    <col min="12035" max="12035" width="8.875" style="1" customWidth="1"/>
    <col min="12036" max="12036" width="12.75" style="1" customWidth="1"/>
    <col min="12037" max="12037" width="8.875" style="1" customWidth="1"/>
    <col min="12038" max="12041" width="0" style="1" hidden="1" customWidth="1"/>
    <col min="12042" max="12042" width="11.75" style="1" customWidth="1"/>
    <col min="12043" max="12043" width="8.125" style="1" customWidth="1"/>
    <col min="12044" max="12088" width="0" style="1" hidden="1" customWidth="1"/>
    <col min="12089" max="12089" width="2.125" style="1" customWidth="1"/>
    <col min="12090" max="12091" width="9.875" style="1" bestFit="1" customWidth="1"/>
    <col min="12092" max="12288" width="9" style="1"/>
    <col min="12289" max="12289" width="48.625" style="1" bestFit="1" customWidth="1"/>
    <col min="12290" max="12290" width="12.75" style="1" customWidth="1"/>
    <col min="12291" max="12291" width="8.875" style="1" customWidth="1"/>
    <col min="12292" max="12292" width="12.75" style="1" customWidth="1"/>
    <col min="12293" max="12293" width="8.875" style="1" customWidth="1"/>
    <col min="12294" max="12297" width="0" style="1" hidden="1" customWidth="1"/>
    <col min="12298" max="12298" width="11.75" style="1" customWidth="1"/>
    <col min="12299" max="12299" width="8.125" style="1" customWidth="1"/>
    <col min="12300" max="12344" width="0" style="1" hidden="1" customWidth="1"/>
    <col min="12345" max="12345" width="2.125" style="1" customWidth="1"/>
    <col min="12346" max="12347" width="9.875" style="1" bestFit="1" customWidth="1"/>
    <col min="12348" max="12544" width="9" style="1"/>
    <col min="12545" max="12545" width="48.625" style="1" bestFit="1" customWidth="1"/>
    <col min="12546" max="12546" width="12.75" style="1" customWidth="1"/>
    <col min="12547" max="12547" width="8.875" style="1" customWidth="1"/>
    <col min="12548" max="12548" width="12.75" style="1" customWidth="1"/>
    <col min="12549" max="12549" width="8.875" style="1" customWidth="1"/>
    <col min="12550" max="12553" width="0" style="1" hidden="1" customWidth="1"/>
    <col min="12554" max="12554" width="11.75" style="1" customWidth="1"/>
    <col min="12555" max="12555" width="8.125" style="1" customWidth="1"/>
    <col min="12556" max="12600" width="0" style="1" hidden="1" customWidth="1"/>
    <col min="12601" max="12601" width="2.125" style="1" customWidth="1"/>
    <col min="12602" max="12603" width="9.875" style="1" bestFit="1" customWidth="1"/>
    <col min="12604" max="12800" width="9" style="1"/>
    <col min="12801" max="12801" width="48.625" style="1" bestFit="1" customWidth="1"/>
    <col min="12802" max="12802" width="12.75" style="1" customWidth="1"/>
    <col min="12803" max="12803" width="8.875" style="1" customWidth="1"/>
    <col min="12804" max="12804" width="12.75" style="1" customWidth="1"/>
    <col min="12805" max="12805" width="8.875" style="1" customWidth="1"/>
    <col min="12806" max="12809" width="0" style="1" hidden="1" customWidth="1"/>
    <col min="12810" max="12810" width="11.75" style="1" customWidth="1"/>
    <col min="12811" max="12811" width="8.125" style="1" customWidth="1"/>
    <col min="12812" max="12856" width="0" style="1" hidden="1" customWidth="1"/>
    <col min="12857" max="12857" width="2.125" style="1" customWidth="1"/>
    <col min="12858" max="12859" width="9.875" style="1" bestFit="1" customWidth="1"/>
    <col min="12860" max="13056" width="9" style="1"/>
    <col min="13057" max="13057" width="48.625" style="1" bestFit="1" customWidth="1"/>
    <col min="13058" max="13058" width="12.75" style="1" customWidth="1"/>
    <col min="13059" max="13059" width="8.875" style="1" customWidth="1"/>
    <col min="13060" max="13060" width="12.75" style="1" customWidth="1"/>
    <col min="13061" max="13061" width="8.875" style="1" customWidth="1"/>
    <col min="13062" max="13065" width="0" style="1" hidden="1" customWidth="1"/>
    <col min="13066" max="13066" width="11.75" style="1" customWidth="1"/>
    <col min="13067" max="13067" width="8.125" style="1" customWidth="1"/>
    <col min="13068" max="13112" width="0" style="1" hidden="1" customWidth="1"/>
    <col min="13113" max="13113" width="2.125" style="1" customWidth="1"/>
    <col min="13114" max="13115" width="9.875" style="1" bestFit="1" customWidth="1"/>
    <col min="13116" max="13312" width="9" style="1"/>
    <col min="13313" max="13313" width="48.625" style="1" bestFit="1" customWidth="1"/>
    <col min="13314" max="13314" width="12.75" style="1" customWidth="1"/>
    <col min="13315" max="13315" width="8.875" style="1" customWidth="1"/>
    <col min="13316" max="13316" width="12.75" style="1" customWidth="1"/>
    <col min="13317" max="13317" width="8.875" style="1" customWidth="1"/>
    <col min="13318" max="13321" width="0" style="1" hidden="1" customWidth="1"/>
    <col min="13322" max="13322" width="11.75" style="1" customWidth="1"/>
    <col min="13323" max="13323" width="8.125" style="1" customWidth="1"/>
    <col min="13324" max="13368" width="0" style="1" hidden="1" customWidth="1"/>
    <col min="13369" max="13369" width="2.125" style="1" customWidth="1"/>
    <col min="13370" max="13371" width="9.875" style="1" bestFit="1" customWidth="1"/>
    <col min="13372" max="13568" width="9" style="1"/>
    <col min="13569" max="13569" width="48.625" style="1" bestFit="1" customWidth="1"/>
    <col min="13570" max="13570" width="12.75" style="1" customWidth="1"/>
    <col min="13571" max="13571" width="8.875" style="1" customWidth="1"/>
    <col min="13572" max="13572" width="12.75" style="1" customWidth="1"/>
    <col min="13573" max="13573" width="8.875" style="1" customWidth="1"/>
    <col min="13574" max="13577" width="0" style="1" hidden="1" customWidth="1"/>
    <col min="13578" max="13578" width="11.75" style="1" customWidth="1"/>
    <col min="13579" max="13579" width="8.125" style="1" customWidth="1"/>
    <col min="13580" max="13624" width="0" style="1" hidden="1" customWidth="1"/>
    <col min="13625" max="13625" width="2.125" style="1" customWidth="1"/>
    <col min="13626" max="13627" width="9.875" style="1" bestFit="1" customWidth="1"/>
    <col min="13628" max="13824" width="9" style="1"/>
    <col min="13825" max="13825" width="48.625" style="1" bestFit="1" customWidth="1"/>
    <col min="13826" max="13826" width="12.75" style="1" customWidth="1"/>
    <col min="13827" max="13827" width="8.875" style="1" customWidth="1"/>
    <col min="13828" max="13828" width="12.75" style="1" customWidth="1"/>
    <col min="13829" max="13829" width="8.875" style="1" customWidth="1"/>
    <col min="13830" max="13833" width="0" style="1" hidden="1" customWidth="1"/>
    <col min="13834" max="13834" width="11.75" style="1" customWidth="1"/>
    <col min="13835" max="13835" width="8.125" style="1" customWidth="1"/>
    <col min="13836" max="13880" width="0" style="1" hidden="1" customWidth="1"/>
    <col min="13881" max="13881" width="2.125" style="1" customWidth="1"/>
    <col min="13882" max="13883" width="9.875" style="1" bestFit="1" customWidth="1"/>
    <col min="13884" max="14080" width="9" style="1"/>
    <col min="14081" max="14081" width="48.625" style="1" bestFit="1" customWidth="1"/>
    <col min="14082" max="14082" width="12.75" style="1" customWidth="1"/>
    <col min="14083" max="14083" width="8.875" style="1" customWidth="1"/>
    <col min="14084" max="14084" width="12.75" style="1" customWidth="1"/>
    <col min="14085" max="14085" width="8.875" style="1" customWidth="1"/>
    <col min="14086" max="14089" width="0" style="1" hidden="1" customWidth="1"/>
    <col min="14090" max="14090" width="11.75" style="1" customWidth="1"/>
    <col min="14091" max="14091" width="8.125" style="1" customWidth="1"/>
    <col min="14092" max="14136" width="0" style="1" hidden="1" customWidth="1"/>
    <col min="14137" max="14137" width="2.125" style="1" customWidth="1"/>
    <col min="14138" max="14139" width="9.875" style="1" bestFit="1" customWidth="1"/>
    <col min="14140" max="14336" width="9" style="1"/>
    <col min="14337" max="14337" width="48.625" style="1" bestFit="1" customWidth="1"/>
    <col min="14338" max="14338" width="12.75" style="1" customWidth="1"/>
    <col min="14339" max="14339" width="8.875" style="1" customWidth="1"/>
    <col min="14340" max="14340" width="12.75" style="1" customWidth="1"/>
    <col min="14341" max="14341" width="8.875" style="1" customWidth="1"/>
    <col min="14342" max="14345" width="0" style="1" hidden="1" customWidth="1"/>
    <col min="14346" max="14346" width="11.75" style="1" customWidth="1"/>
    <col min="14347" max="14347" width="8.125" style="1" customWidth="1"/>
    <col min="14348" max="14392" width="0" style="1" hidden="1" customWidth="1"/>
    <col min="14393" max="14393" width="2.125" style="1" customWidth="1"/>
    <col min="14394" max="14395" width="9.875" style="1" bestFit="1" customWidth="1"/>
    <col min="14396" max="14592" width="9" style="1"/>
    <col min="14593" max="14593" width="48.625" style="1" bestFit="1" customWidth="1"/>
    <col min="14594" max="14594" width="12.75" style="1" customWidth="1"/>
    <col min="14595" max="14595" width="8.875" style="1" customWidth="1"/>
    <col min="14596" max="14596" width="12.75" style="1" customWidth="1"/>
    <col min="14597" max="14597" width="8.875" style="1" customWidth="1"/>
    <col min="14598" max="14601" width="0" style="1" hidden="1" customWidth="1"/>
    <col min="14602" max="14602" width="11.75" style="1" customWidth="1"/>
    <col min="14603" max="14603" width="8.125" style="1" customWidth="1"/>
    <col min="14604" max="14648" width="0" style="1" hidden="1" customWidth="1"/>
    <col min="14649" max="14649" width="2.125" style="1" customWidth="1"/>
    <col min="14650" max="14651" width="9.875" style="1" bestFit="1" customWidth="1"/>
    <col min="14652" max="14848" width="9" style="1"/>
    <col min="14849" max="14849" width="48.625" style="1" bestFit="1" customWidth="1"/>
    <col min="14850" max="14850" width="12.75" style="1" customWidth="1"/>
    <col min="14851" max="14851" width="8.875" style="1" customWidth="1"/>
    <col min="14852" max="14852" width="12.75" style="1" customWidth="1"/>
    <col min="14853" max="14853" width="8.875" style="1" customWidth="1"/>
    <col min="14854" max="14857" width="0" style="1" hidden="1" customWidth="1"/>
    <col min="14858" max="14858" width="11.75" style="1" customWidth="1"/>
    <col min="14859" max="14859" width="8.125" style="1" customWidth="1"/>
    <col min="14860" max="14904" width="0" style="1" hidden="1" customWidth="1"/>
    <col min="14905" max="14905" width="2.125" style="1" customWidth="1"/>
    <col min="14906" max="14907" width="9.875" style="1" bestFit="1" customWidth="1"/>
    <col min="14908" max="15104" width="9" style="1"/>
    <col min="15105" max="15105" width="48.625" style="1" bestFit="1" customWidth="1"/>
    <col min="15106" max="15106" width="12.75" style="1" customWidth="1"/>
    <col min="15107" max="15107" width="8.875" style="1" customWidth="1"/>
    <col min="15108" max="15108" width="12.75" style="1" customWidth="1"/>
    <col min="15109" max="15109" width="8.875" style="1" customWidth="1"/>
    <col min="15110" max="15113" width="0" style="1" hidden="1" customWidth="1"/>
    <col min="15114" max="15114" width="11.75" style="1" customWidth="1"/>
    <col min="15115" max="15115" width="8.125" style="1" customWidth="1"/>
    <col min="15116" max="15160" width="0" style="1" hidden="1" customWidth="1"/>
    <col min="15161" max="15161" width="2.125" style="1" customWidth="1"/>
    <col min="15162" max="15163" width="9.875" style="1" bestFit="1" customWidth="1"/>
    <col min="15164" max="15360" width="9" style="1"/>
    <col min="15361" max="15361" width="48.625" style="1" bestFit="1" customWidth="1"/>
    <col min="15362" max="15362" width="12.75" style="1" customWidth="1"/>
    <col min="15363" max="15363" width="8.875" style="1" customWidth="1"/>
    <col min="15364" max="15364" width="12.75" style="1" customWidth="1"/>
    <col min="15365" max="15365" width="8.875" style="1" customWidth="1"/>
    <col min="15366" max="15369" width="0" style="1" hidden="1" customWidth="1"/>
    <col min="15370" max="15370" width="11.75" style="1" customWidth="1"/>
    <col min="15371" max="15371" width="8.125" style="1" customWidth="1"/>
    <col min="15372" max="15416" width="0" style="1" hidden="1" customWidth="1"/>
    <col min="15417" max="15417" width="2.125" style="1" customWidth="1"/>
    <col min="15418" max="15419" width="9.875" style="1" bestFit="1" customWidth="1"/>
    <col min="15420" max="15616" width="9" style="1"/>
    <col min="15617" max="15617" width="48.625" style="1" bestFit="1" customWidth="1"/>
    <col min="15618" max="15618" width="12.75" style="1" customWidth="1"/>
    <col min="15619" max="15619" width="8.875" style="1" customWidth="1"/>
    <col min="15620" max="15620" width="12.75" style="1" customWidth="1"/>
    <col min="15621" max="15621" width="8.875" style="1" customWidth="1"/>
    <col min="15622" max="15625" width="0" style="1" hidden="1" customWidth="1"/>
    <col min="15626" max="15626" width="11.75" style="1" customWidth="1"/>
    <col min="15627" max="15627" width="8.125" style="1" customWidth="1"/>
    <col min="15628" max="15672" width="0" style="1" hidden="1" customWidth="1"/>
    <col min="15673" max="15673" width="2.125" style="1" customWidth="1"/>
    <col min="15674" max="15675" width="9.875" style="1" bestFit="1" customWidth="1"/>
    <col min="15676" max="15872" width="9" style="1"/>
    <col min="15873" max="15873" width="48.625" style="1" bestFit="1" customWidth="1"/>
    <col min="15874" max="15874" width="12.75" style="1" customWidth="1"/>
    <col min="15875" max="15875" width="8.875" style="1" customWidth="1"/>
    <col min="15876" max="15876" width="12.75" style="1" customWidth="1"/>
    <col min="15877" max="15877" width="8.875" style="1" customWidth="1"/>
    <col min="15878" max="15881" width="0" style="1" hidden="1" customWidth="1"/>
    <col min="15882" max="15882" width="11.75" style="1" customWidth="1"/>
    <col min="15883" max="15883" width="8.125" style="1" customWidth="1"/>
    <col min="15884" max="15928" width="0" style="1" hidden="1" customWidth="1"/>
    <col min="15929" max="15929" width="2.125" style="1" customWidth="1"/>
    <col min="15930" max="15931" width="9.875" style="1" bestFit="1" customWidth="1"/>
    <col min="15932" max="16128" width="9" style="1"/>
    <col min="16129" max="16129" width="48.625" style="1" bestFit="1" customWidth="1"/>
    <col min="16130" max="16130" width="12.75" style="1" customWidth="1"/>
    <col min="16131" max="16131" width="8.875" style="1" customWidth="1"/>
    <col min="16132" max="16132" width="12.75" style="1" customWidth="1"/>
    <col min="16133" max="16133" width="8.875" style="1" customWidth="1"/>
    <col min="16134" max="16137" width="0" style="1" hidden="1" customWidth="1"/>
    <col min="16138" max="16138" width="11.75" style="1" customWidth="1"/>
    <col min="16139" max="16139" width="8.125" style="1" customWidth="1"/>
    <col min="16140" max="16184" width="0" style="1" hidden="1" customWidth="1"/>
    <col min="16185" max="16185" width="2.125" style="1" customWidth="1"/>
    <col min="16186" max="16187" width="9.875" style="1" bestFit="1" customWidth="1"/>
    <col min="16188" max="16384" width="9" style="1"/>
  </cols>
  <sheetData>
    <row r="1" spans="1:60" ht="79.5" customHeight="1"/>
    <row r="2" spans="1:60" ht="16.5" thickBot="1">
      <c r="A2" s="86" t="s">
        <v>52</v>
      </c>
      <c r="B2" s="112" t="s">
        <v>168</v>
      </c>
      <c r="C2" s="113"/>
      <c r="D2" s="112" t="s">
        <v>169</v>
      </c>
      <c r="E2" s="113"/>
      <c r="F2" s="112" t="s">
        <v>53</v>
      </c>
      <c r="G2" s="113"/>
      <c r="H2" s="112" t="s">
        <v>54</v>
      </c>
      <c r="I2" s="113"/>
      <c r="J2" s="112" t="s">
        <v>170</v>
      </c>
      <c r="K2" s="113"/>
      <c r="L2" s="112" t="s">
        <v>55</v>
      </c>
      <c r="M2" s="113"/>
      <c r="N2" s="112" t="s">
        <v>56</v>
      </c>
      <c r="O2" s="113"/>
      <c r="P2" s="112" t="s">
        <v>57</v>
      </c>
      <c r="Q2" s="113"/>
      <c r="R2" s="112" t="s">
        <v>58</v>
      </c>
      <c r="S2" s="113"/>
      <c r="T2" s="112" t="s">
        <v>59</v>
      </c>
      <c r="U2" s="113"/>
      <c r="V2" s="112" t="s">
        <v>60</v>
      </c>
      <c r="W2" s="113"/>
      <c r="X2" s="112" t="s">
        <v>61</v>
      </c>
      <c r="Y2" s="113"/>
      <c r="Z2" s="112" t="s">
        <v>62</v>
      </c>
      <c r="AA2" s="113"/>
      <c r="AB2" s="112" t="s">
        <v>63</v>
      </c>
      <c r="AC2" s="113"/>
      <c r="AD2" s="112" t="s">
        <v>64</v>
      </c>
      <c r="AE2" s="113"/>
      <c r="AF2" s="112" t="s">
        <v>65</v>
      </c>
      <c r="AG2" s="113"/>
      <c r="AH2" s="112" t="s">
        <v>66</v>
      </c>
      <c r="AI2" s="113"/>
      <c r="AJ2" s="112" t="s">
        <v>67</v>
      </c>
      <c r="AK2" s="113"/>
      <c r="AL2" s="112" t="s">
        <v>68</v>
      </c>
      <c r="AM2" s="113"/>
      <c r="AN2" s="112" t="s">
        <v>69</v>
      </c>
      <c r="AO2" s="113"/>
      <c r="AP2" s="112" t="s">
        <v>70</v>
      </c>
      <c r="AQ2" s="113"/>
      <c r="AR2" s="112" t="s">
        <v>71</v>
      </c>
      <c r="AS2" s="113"/>
      <c r="AT2" s="112" t="s">
        <v>72</v>
      </c>
      <c r="AU2" s="113"/>
      <c r="AV2" s="112" t="s">
        <v>73</v>
      </c>
      <c r="AW2" s="113"/>
      <c r="AX2" s="112" t="s">
        <v>74</v>
      </c>
      <c r="AY2" s="113"/>
      <c r="AZ2" s="112" t="s">
        <v>75</v>
      </c>
      <c r="BA2" s="113"/>
      <c r="BF2" s="67" t="s">
        <v>76</v>
      </c>
      <c r="BG2" s="67" t="s">
        <v>77</v>
      </c>
    </row>
    <row r="3" spans="1:60">
      <c r="A3" s="87" t="s">
        <v>78</v>
      </c>
      <c r="B3" s="3">
        <v>551936</v>
      </c>
      <c r="C3" s="60">
        <v>1</v>
      </c>
      <c r="D3" s="3">
        <v>675324</v>
      </c>
      <c r="E3" s="60">
        <v>1</v>
      </c>
      <c r="F3" s="3">
        <v>857074</v>
      </c>
      <c r="G3" s="60">
        <v>1</v>
      </c>
      <c r="H3" s="3">
        <v>899706</v>
      </c>
      <c r="I3" s="60">
        <v>1</v>
      </c>
      <c r="J3" s="3">
        <v>754958</v>
      </c>
      <c r="K3" s="60">
        <v>1</v>
      </c>
      <c r="L3" s="57">
        <v>831494</v>
      </c>
      <c r="M3" s="60">
        <v>1</v>
      </c>
      <c r="N3" s="57">
        <v>790877</v>
      </c>
      <c r="O3" s="60">
        <v>1</v>
      </c>
      <c r="P3" s="57">
        <v>796637</v>
      </c>
      <c r="Q3" s="60">
        <v>1</v>
      </c>
      <c r="R3" s="57">
        <v>981736</v>
      </c>
      <c r="S3" s="4">
        <v>1</v>
      </c>
      <c r="T3" s="57">
        <v>1110908</v>
      </c>
      <c r="U3" s="4">
        <v>1</v>
      </c>
      <c r="V3" s="57">
        <v>952310</v>
      </c>
      <c r="W3" s="4">
        <v>1</v>
      </c>
      <c r="X3" s="57">
        <v>658485</v>
      </c>
      <c r="Y3" s="4">
        <v>1</v>
      </c>
      <c r="Z3" s="57">
        <v>909890</v>
      </c>
      <c r="AA3" s="4">
        <v>1</v>
      </c>
      <c r="AB3" s="57">
        <v>1126645</v>
      </c>
      <c r="AC3" s="4">
        <v>1</v>
      </c>
      <c r="AD3" s="57">
        <v>1395830</v>
      </c>
      <c r="AE3" s="4">
        <v>1</v>
      </c>
      <c r="AF3" s="57">
        <v>1016890</v>
      </c>
      <c r="AG3" s="4">
        <v>1</v>
      </c>
      <c r="AH3" s="57">
        <v>1108030</v>
      </c>
      <c r="AI3" s="4">
        <v>1</v>
      </c>
      <c r="AJ3" s="57">
        <v>1280595</v>
      </c>
      <c r="AK3" s="4">
        <v>1</v>
      </c>
      <c r="AL3" s="57">
        <v>1058707</v>
      </c>
      <c r="AM3" s="4">
        <v>1</v>
      </c>
      <c r="AN3" s="57">
        <v>955183</v>
      </c>
      <c r="AO3" s="4">
        <v>1</v>
      </c>
      <c r="AP3" s="57">
        <v>861099</v>
      </c>
      <c r="AQ3" s="4">
        <v>1</v>
      </c>
      <c r="AR3" s="57">
        <v>1184085</v>
      </c>
      <c r="AS3" s="4">
        <v>1</v>
      </c>
      <c r="AT3" s="57">
        <v>1221942</v>
      </c>
      <c r="AU3" s="4">
        <v>1</v>
      </c>
      <c r="AV3" s="57">
        <v>1291208</v>
      </c>
      <c r="AW3" s="4">
        <v>1</v>
      </c>
      <c r="AX3" s="57">
        <v>1425353</v>
      </c>
      <c r="AY3" s="4">
        <v>1</v>
      </c>
      <c r="AZ3" s="57"/>
      <c r="BA3" s="4">
        <v>-0.18270933655549038</v>
      </c>
      <c r="BB3" s="2">
        <v>-0.26891827095017207</v>
      </c>
      <c r="BC3" s="70"/>
      <c r="BD3" s="70"/>
      <c r="BF3" s="115">
        <v>-0.21205870204906463</v>
      </c>
      <c r="BG3" s="115">
        <v>-0.18781855311042528</v>
      </c>
    </row>
    <row r="4" spans="1:60">
      <c r="A4" s="88" t="s">
        <v>79</v>
      </c>
      <c r="B4" s="9">
        <v>-384527</v>
      </c>
      <c r="C4" s="60"/>
      <c r="D4" s="9">
        <v>-478334</v>
      </c>
      <c r="E4" s="60"/>
      <c r="F4" s="9">
        <v>-602845</v>
      </c>
      <c r="G4" s="60"/>
      <c r="H4" s="9">
        <v>-644630</v>
      </c>
      <c r="I4" s="60"/>
      <c r="J4" s="9">
        <v>-548520</v>
      </c>
      <c r="K4" s="60"/>
      <c r="L4" s="9">
        <v>-533706</v>
      </c>
      <c r="M4" s="60"/>
      <c r="N4" s="9">
        <v>-506611</v>
      </c>
      <c r="O4" s="60"/>
      <c r="P4" s="9">
        <v>-500846</v>
      </c>
      <c r="Q4" s="60"/>
      <c r="R4" s="9">
        <v>-613240</v>
      </c>
      <c r="S4" s="4"/>
      <c r="T4" s="9">
        <v>-646306</v>
      </c>
      <c r="U4" s="4"/>
      <c r="V4" s="9">
        <v>-547225</v>
      </c>
      <c r="W4" s="4"/>
      <c r="X4" s="9">
        <v>-403323</v>
      </c>
      <c r="Y4" s="4"/>
      <c r="Z4" s="9">
        <v>-530090</v>
      </c>
      <c r="AA4" s="4"/>
      <c r="AB4" s="9">
        <v>-685726</v>
      </c>
      <c r="AC4" s="4"/>
      <c r="AD4" s="9">
        <v>-798154</v>
      </c>
      <c r="AE4" s="4"/>
      <c r="AF4" s="9">
        <v>-542663</v>
      </c>
      <c r="AG4" s="4"/>
      <c r="AH4" s="9">
        <v>-558453</v>
      </c>
      <c r="AI4" s="4"/>
      <c r="AJ4" s="9">
        <v>-667492</v>
      </c>
      <c r="AK4" s="4"/>
      <c r="AL4" s="9">
        <v>-617622</v>
      </c>
      <c r="AM4" s="4"/>
      <c r="AN4" s="9">
        <v>-519202</v>
      </c>
      <c r="AO4" s="4"/>
      <c r="AP4" s="9">
        <v>-473059</v>
      </c>
      <c r="AQ4" s="4"/>
      <c r="AR4" s="9">
        <v>-654098</v>
      </c>
      <c r="AS4" s="4"/>
      <c r="AT4" s="9">
        <v>-648046</v>
      </c>
      <c r="AU4" s="4"/>
      <c r="AV4" s="9">
        <v>-664188</v>
      </c>
      <c r="AW4" s="4"/>
      <c r="AX4" s="9">
        <v>-733231</v>
      </c>
      <c r="AY4" s="4"/>
      <c r="AZ4" s="9"/>
      <c r="BA4" s="4">
        <v>-0.19611192179523096</v>
      </c>
      <c r="BB4" s="2">
        <v>-0.2989736016918253</v>
      </c>
      <c r="BC4" s="70"/>
      <c r="BD4" s="70"/>
      <c r="BF4" s="115">
        <v>-0.20653899426884192</v>
      </c>
      <c r="BG4" s="115">
        <v>-0.1037500046842269</v>
      </c>
    </row>
    <row r="5" spans="1:60">
      <c r="A5" s="87" t="s">
        <v>80</v>
      </c>
      <c r="B5" s="74">
        <v>167409</v>
      </c>
      <c r="C5" s="4">
        <v>0.30331234056122447</v>
      </c>
      <c r="D5" s="74">
        <v>196990</v>
      </c>
      <c r="E5" s="4">
        <v>0.29169702246625323</v>
      </c>
      <c r="F5" s="74">
        <v>254229</v>
      </c>
      <c r="G5" s="4">
        <v>0.29662432882108197</v>
      </c>
      <c r="H5" s="74">
        <v>255076</v>
      </c>
      <c r="I5" s="4">
        <v>0.28351039117222737</v>
      </c>
      <c r="J5" s="74">
        <v>206438</v>
      </c>
      <c r="K5" s="4">
        <v>0.27344302596965658</v>
      </c>
      <c r="L5" s="9">
        <v>297788</v>
      </c>
      <c r="M5" s="4">
        <v>0.35813607795125402</v>
      </c>
      <c r="N5" s="9">
        <v>284266</v>
      </c>
      <c r="O5" s="60">
        <v>0.35943136543356302</v>
      </c>
      <c r="P5" s="9">
        <v>295791</v>
      </c>
      <c r="Q5" s="4">
        <v>0.37129960069642759</v>
      </c>
      <c r="R5" s="9">
        <v>368496</v>
      </c>
      <c r="S5" s="4">
        <v>0.37535141830390245</v>
      </c>
      <c r="T5" s="9">
        <v>464602</v>
      </c>
      <c r="U5" s="4">
        <v>0.41821825029615411</v>
      </c>
      <c r="V5" s="9">
        <v>405085</v>
      </c>
      <c r="W5" s="4">
        <v>0.42537094013504007</v>
      </c>
      <c r="X5" s="9">
        <v>255162</v>
      </c>
      <c r="Y5" s="4">
        <v>0.38749857627736395</v>
      </c>
      <c r="Z5" s="9">
        <v>379800</v>
      </c>
      <c r="AA5" s="4">
        <v>0.41741309389047027</v>
      </c>
      <c r="AB5" s="74">
        <v>440919</v>
      </c>
      <c r="AC5" s="4">
        <v>0.39135575092420416</v>
      </c>
      <c r="AD5" s="9">
        <v>597676</v>
      </c>
      <c r="AE5" s="4">
        <v>0.42818681358045035</v>
      </c>
      <c r="AF5" s="9">
        <v>474227</v>
      </c>
      <c r="AG5" s="4">
        <v>0.46635034271160108</v>
      </c>
      <c r="AH5" s="9">
        <v>549577</v>
      </c>
      <c r="AI5" s="4">
        <v>0.49599469328447787</v>
      </c>
      <c r="AJ5" s="9">
        <v>613103</v>
      </c>
      <c r="AK5" s="4">
        <v>0.47876416821867962</v>
      </c>
      <c r="AL5" s="9">
        <v>441085</v>
      </c>
      <c r="AM5" s="4">
        <v>0.41662612979795166</v>
      </c>
      <c r="AN5" s="9">
        <v>435981</v>
      </c>
      <c r="AO5" s="4">
        <v>0.45643714345837394</v>
      </c>
      <c r="AP5" s="9">
        <v>388040</v>
      </c>
      <c r="AQ5" s="4">
        <v>0.4506334347154044</v>
      </c>
      <c r="AR5" s="9">
        <v>529987</v>
      </c>
      <c r="AS5" s="4">
        <v>0.44759202253216618</v>
      </c>
      <c r="AT5" s="9">
        <v>573896</v>
      </c>
      <c r="AU5" s="4">
        <v>0.46965895271625002</v>
      </c>
      <c r="AV5" s="9">
        <v>627020</v>
      </c>
      <c r="AW5" s="4">
        <v>0.48560727628701184</v>
      </c>
      <c r="AX5" s="9">
        <v>692122</v>
      </c>
      <c r="AY5" s="4">
        <v>0.48557936174407323</v>
      </c>
      <c r="AZ5" s="9"/>
      <c r="BA5" s="4">
        <v>-0.15016498299406056</v>
      </c>
      <c r="BB5" s="2">
        <v>-0.18905918484000039</v>
      </c>
      <c r="BC5" s="70"/>
      <c r="BD5" s="70"/>
      <c r="BF5" s="115">
        <v>-0.22514740647211762</v>
      </c>
      <c r="BG5" s="115">
        <v>-0.3384891264926726</v>
      </c>
    </row>
    <row r="6" spans="1:60">
      <c r="A6" s="88" t="s">
        <v>81</v>
      </c>
      <c r="B6" s="7"/>
      <c r="C6" s="60"/>
      <c r="D6" s="7"/>
      <c r="E6" s="60"/>
      <c r="F6" s="7"/>
      <c r="G6" s="60"/>
      <c r="H6" s="7"/>
      <c r="I6" s="60"/>
      <c r="J6" s="7"/>
      <c r="K6" s="60"/>
      <c r="L6" s="7"/>
      <c r="M6" s="60"/>
      <c r="N6" s="7"/>
      <c r="O6" s="60"/>
      <c r="P6" s="7"/>
      <c r="Q6" s="60"/>
      <c r="R6" s="7"/>
      <c r="S6" s="4"/>
      <c r="T6" s="7"/>
      <c r="U6" s="4"/>
      <c r="V6" s="7"/>
      <c r="W6" s="4"/>
      <c r="X6" s="7"/>
      <c r="Y6" s="4"/>
      <c r="Z6" s="7"/>
      <c r="AA6" s="4"/>
      <c r="AB6" s="7"/>
      <c r="AC6" s="4"/>
      <c r="AD6" s="7"/>
      <c r="AE6" s="4"/>
      <c r="AF6" s="7"/>
      <c r="AG6" s="4"/>
      <c r="AH6" s="7"/>
      <c r="AI6" s="4"/>
      <c r="AJ6" s="7"/>
      <c r="AK6" s="4"/>
      <c r="AL6" s="7"/>
      <c r="AM6" s="4"/>
      <c r="AN6" s="7"/>
      <c r="AO6" s="4"/>
      <c r="AP6" s="7"/>
      <c r="AQ6" s="4"/>
      <c r="AR6" s="7"/>
      <c r="AS6" s="4"/>
      <c r="AT6" s="7"/>
      <c r="AU6" s="4"/>
      <c r="AV6" s="7"/>
      <c r="AW6" s="4"/>
      <c r="AX6" s="7"/>
      <c r="AY6" s="4"/>
      <c r="AZ6" s="7"/>
      <c r="BA6" s="4"/>
      <c r="BB6" s="2"/>
      <c r="BC6" s="70"/>
      <c r="BD6" s="70"/>
      <c r="BF6" s="115"/>
      <c r="BG6" s="116"/>
      <c r="BH6" s="89"/>
    </row>
    <row r="7" spans="1:60" ht="16.5">
      <c r="A7" s="88" t="s">
        <v>82</v>
      </c>
      <c r="B7" s="3">
        <v>-39259</v>
      </c>
      <c r="C7" s="60"/>
      <c r="D7" s="3">
        <v>-40754</v>
      </c>
      <c r="E7" s="60"/>
      <c r="F7" s="3">
        <v>-48935</v>
      </c>
      <c r="G7" s="60"/>
      <c r="H7" s="3">
        <v>-51970</v>
      </c>
      <c r="I7" s="60"/>
      <c r="J7" s="3">
        <v>-44639</v>
      </c>
      <c r="K7" s="60"/>
      <c r="L7" s="3">
        <v>-42784</v>
      </c>
      <c r="M7" s="60"/>
      <c r="N7" s="85">
        <v>-58266</v>
      </c>
      <c r="O7" s="60"/>
      <c r="P7" s="85">
        <v>-67483</v>
      </c>
      <c r="Q7" s="60"/>
      <c r="R7" s="3">
        <v>-70953</v>
      </c>
      <c r="S7" s="4"/>
      <c r="T7" s="3">
        <v>-74961</v>
      </c>
      <c r="U7" s="4"/>
      <c r="V7" s="3">
        <v>-73794</v>
      </c>
      <c r="W7" s="4"/>
      <c r="X7" s="3">
        <v>-60269</v>
      </c>
      <c r="Y7" s="4"/>
      <c r="Z7" s="3">
        <v>-65640</v>
      </c>
      <c r="AA7" s="4"/>
      <c r="AB7" s="3">
        <v>-85182</v>
      </c>
      <c r="AC7" s="4"/>
      <c r="AD7" s="3">
        <v>-104663</v>
      </c>
      <c r="AE7" s="4"/>
      <c r="AF7" s="3">
        <v>-80635</v>
      </c>
      <c r="AG7" s="4"/>
      <c r="AH7" s="3">
        <v>-87385</v>
      </c>
      <c r="AI7" s="4"/>
      <c r="AJ7" s="3">
        <v>-84610</v>
      </c>
      <c r="AK7" s="4"/>
      <c r="AL7" s="3">
        <v>-62863</v>
      </c>
      <c r="AM7" s="4"/>
      <c r="AN7" s="3">
        <v>-38651</v>
      </c>
      <c r="AO7" s="4"/>
      <c r="AP7" s="3">
        <v>-72188</v>
      </c>
      <c r="AQ7" s="4"/>
      <c r="AR7" s="3">
        <v>-72941</v>
      </c>
      <c r="AS7" s="4"/>
      <c r="AT7" s="3">
        <v>-69462</v>
      </c>
      <c r="AU7" s="4"/>
      <c r="AV7" s="3">
        <v>-73485</v>
      </c>
      <c r="AW7" s="4"/>
      <c r="AX7" s="3">
        <v>-83554</v>
      </c>
      <c r="AY7" s="4"/>
      <c r="AZ7" s="3"/>
      <c r="BA7" s="4">
        <v>-3.6683515728517468E-2</v>
      </c>
      <c r="BB7" s="2">
        <v>-0.12052241313649503</v>
      </c>
      <c r="BC7" s="70"/>
      <c r="BD7" s="70"/>
      <c r="BF7" s="115">
        <v>-0.16718095432716873</v>
      </c>
      <c r="BG7" s="115">
        <v>-4.7447643979057541E-2</v>
      </c>
    </row>
    <row r="8" spans="1:60" ht="16.5">
      <c r="A8" s="88" t="s">
        <v>83</v>
      </c>
      <c r="B8" s="3">
        <v>-59920</v>
      </c>
      <c r="C8" s="60"/>
      <c r="D8" s="3">
        <v>-66881</v>
      </c>
      <c r="E8" s="60"/>
      <c r="F8" s="3">
        <v>-73230</v>
      </c>
      <c r="G8" s="60"/>
      <c r="H8" s="3">
        <v>-69658</v>
      </c>
      <c r="I8" s="60"/>
      <c r="J8" s="3">
        <v>-61974</v>
      </c>
      <c r="K8" s="60"/>
      <c r="L8" s="3">
        <v>-65048</v>
      </c>
      <c r="M8" s="60"/>
      <c r="N8" s="85">
        <v>-64537</v>
      </c>
      <c r="O8" s="60"/>
      <c r="P8" s="85">
        <v>-60767</v>
      </c>
      <c r="Q8" s="60"/>
      <c r="R8" s="3">
        <v>-64998</v>
      </c>
      <c r="S8" s="4"/>
      <c r="T8" s="3">
        <v>-80371</v>
      </c>
      <c r="U8" s="4"/>
      <c r="V8" s="3">
        <v>-66866</v>
      </c>
      <c r="W8" s="4"/>
      <c r="X8" s="3">
        <v>-76032</v>
      </c>
      <c r="Y8" s="4"/>
      <c r="Z8" s="3">
        <v>-71040</v>
      </c>
      <c r="AA8" s="4"/>
      <c r="AB8" s="3">
        <v>-81377</v>
      </c>
      <c r="AC8" s="4"/>
      <c r="AD8" s="3">
        <v>-78543</v>
      </c>
      <c r="AE8" s="4"/>
      <c r="AF8" s="3">
        <v>-73340</v>
      </c>
      <c r="AG8" s="4"/>
      <c r="AH8" s="3">
        <v>-89030</v>
      </c>
      <c r="AI8" s="4"/>
      <c r="AJ8" s="3">
        <v>-125653</v>
      </c>
      <c r="AK8" s="4"/>
      <c r="AL8" s="3">
        <v>-100274</v>
      </c>
      <c r="AM8" s="4"/>
      <c r="AN8" s="3">
        <v>-99303</v>
      </c>
      <c r="AO8" s="4"/>
      <c r="AP8" s="3">
        <v>-77999</v>
      </c>
      <c r="AQ8" s="4"/>
      <c r="AR8" s="3">
        <v>-65801</v>
      </c>
      <c r="AS8" s="4"/>
      <c r="AT8" s="3">
        <v>-66733</v>
      </c>
      <c r="AU8" s="4"/>
      <c r="AV8" s="3">
        <v>-67142</v>
      </c>
      <c r="AW8" s="4"/>
      <c r="AX8" s="3">
        <v>-69610</v>
      </c>
      <c r="AY8" s="4"/>
      <c r="AZ8" s="3"/>
      <c r="BA8" s="4">
        <v>-0.10408038157324206</v>
      </c>
      <c r="BB8" s="2">
        <v>-3.3142930906509216E-2</v>
      </c>
      <c r="BC8" s="70"/>
      <c r="BD8" s="70"/>
      <c r="BF8" s="115">
        <v>-8.669944012016928E-2</v>
      </c>
      <c r="BG8" s="115">
        <v>2.8179190751445038E-2</v>
      </c>
    </row>
    <row r="9" spans="1:60" ht="16.5">
      <c r="A9" s="88" t="s">
        <v>84</v>
      </c>
      <c r="B9" s="3">
        <v>-264428</v>
      </c>
      <c r="C9" s="60"/>
      <c r="D9" s="3">
        <v>-294436</v>
      </c>
      <c r="E9" s="60"/>
      <c r="F9" s="3">
        <v>-275939</v>
      </c>
      <c r="G9" s="60"/>
      <c r="H9" s="3">
        <v>-276882</v>
      </c>
      <c r="I9" s="60"/>
      <c r="J9" s="3">
        <v>-242593</v>
      </c>
      <c r="K9" s="60"/>
      <c r="L9" s="3">
        <v>-273562</v>
      </c>
      <c r="M9" s="60"/>
      <c r="N9" s="85">
        <v>-275602</v>
      </c>
      <c r="O9" s="60"/>
      <c r="P9" s="85">
        <v>-298239</v>
      </c>
      <c r="Q9" s="60"/>
      <c r="R9" s="3">
        <v>-281995</v>
      </c>
      <c r="S9" s="4"/>
      <c r="T9" s="3">
        <v>-307904</v>
      </c>
      <c r="U9" s="4"/>
      <c r="V9" s="3">
        <v>-303392</v>
      </c>
      <c r="W9" s="4"/>
      <c r="X9" s="3">
        <v>-286553</v>
      </c>
      <c r="Y9" s="4"/>
      <c r="Z9" s="3">
        <v>-260953</v>
      </c>
      <c r="AA9" s="4"/>
      <c r="AB9" s="3">
        <v>-272407</v>
      </c>
      <c r="AC9" s="4"/>
      <c r="AD9" s="85">
        <v>-291762</v>
      </c>
      <c r="AE9" s="4"/>
      <c r="AF9" s="3">
        <v>-278005</v>
      </c>
      <c r="AG9" s="4"/>
      <c r="AH9" s="3">
        <v>-301629</v>
      </c>
      <c r="AI9" s="4"/>
      <c r="AJ9" s="3">
        <v>-333193</v>
      </c>
      <c r="AK9" s="4"/>
      <c r="AL9" s="3">
        <v>-290603</v>
      </c>
      <c r="AM9" s="4"/>
      <c r="AN9" s="3">
        <v>-265858</v>
      </c>
      <c r="AO9" s="4"/>
      <c r="AP9" s="3">
        <v>-306809</v>
      </c>
      <c r="AQ9" s="4"/>
      <c r="AR9" s="3">
        <v>-220994</v>
      </c>
      <c r="AS9" s="4"/>
      <c r="AT9" s="3">
        <v>-226246</v>
      </c>
      <c r="AU9" s="4"/>
      <c r="AV9" s="3">
        <v>-235303</v>
      </c>
      <c r="AW9" s="4"/>
      <c r="AX9" s="3">
        <v>-238734</v>
      </c>
      <c r="AY9" s="4"/>
      <c r="AZ9" s="3"/>
      <c r="BA9" s="4">
        <v>-0.10191688516349906</v>
      </c>
      <c r="BB9" s="2">
        <v>9.0006719072685426E-2</v>
      </c>
      <c r="BC9" s="70"/>
      <c r="BD9" s="70"/>
      <c r="BF9" s="115">
        <v>6.7032931191314038E-2</v>
      </c>
      <c r="BG9" s="115">
        <v>7.6304457490441013E-2</v>
      </c>
    </row>
    <row r="10" spans="1:60">
      <c r="A10" s="88" t="s">
        <v>167</v>
      </c>
      <c r="B10" s="57">
        <v>-14</v>
      </c>
      <c r="C10" s="60"/>
      <c r="D10" s="57"/>
      <c r="E10" s="60"/>
      <c r="F10" s="57"/>
      <c r="G10" s="60"/>
      <c r="H10" s="57"/>
      <c r="I10" s="60"/>
      <c r="J10" s="57"/>
      <c r="K10" s="60"/>
      <c r="L10" s="57"/>
      <c r="M10" s="60"/>
      <c r="N10" s="114"/>
      <c r="O10" s="60"/>
      <c r="P10" s="114"/>
      <c r="Q10" s="60"/>
      <c r="R10" s="57"/>
      <c r="S10" s="4"/>
      <c r="T10" s="57"/>
      <c r="U10" s="4"/>
      <c r="V10" s="57"/>
      <c r="W10" s="4"/>
      <c r="X10" s="57"/>
      <c r="Y10" s="4"/>
      <c r="Z10" s="57"/>
      <c r="AA10" s="4"/>
      <c r="AB10" s="57"/>
      <c r="AC10" s="4"/>
      <c r="AD10" s="114"/>
      <c r="AE10" s="4"/>
      <c r="AF10" s="57"/>
      <c r="AG10" s="4"/>
      <c r="AH10" s="57"/>
      <c r="AI10" s="4"/>
      <c r="AJ10" s="57"/>
      <c r="AK10" s="4"/>
      <c r="AL10" s="57"/>
      <c r="AM10" s="4"/>
      <c r="AN10" s="57"/>
      <c r="AO10" s="4"/>
      <c r="AP10" s="57"/>
      <c r="AQ10" s="4"/>
      <c r="AR10" s="57"/>
      <c r="AS10" s="4"/>
      <c r="AT10" s="57"/>
      <c r="AU10" s="4"/>
      <c r="AV10" s="57"/>
      <c r="AW10" s="4"/>
      <c r="AX10" s="57"/>
      <c r="AY10" s="4"/>
      <c r="AZ10" s="57"/>
      <c r="BA10" s="4" t="s">
        <v>166</v>
      </c>
      <c r="BB10" s="2" t="s">
        <v>166</v>
      </c>
      <c r="BC10" s="70"/>
      <c r="BD10" s="70"/>
      <c r="BF10" s="115"/>
      <c r="BG10" s="115"/>
    </row>
    <row r="11" spans="1:60">
      <c r="A11" s="88" t="s">
        <v>85</v>
      </c>
      <c r="B11" s="9">
        <v>-363621</v>
      </c>
      <c r="C11" s="4"/>
      <c r="D11" s="9">
        <v>-402071</v>
      </c>
      <c r="E11" s="4"/>
      <c r="F11" s="9">
        <v>-398104</v>
      </c>
      <c r="G11" s="4"/>
      <c r="H11" s="9">
        <v>-398510</v>
      </c>
      <c r="I11" s="4"/>
      <c r="J11" s="9">
        <v>-349206</v>
      </c>
      <c r="K11" s="4"/>
      <c r="L11" s="9">
        <v>-381394</v>
      </c>
      <c r="M11" s="60"/>
      <c r="N11" s="9">
        <v>-398405</v>
      </c>
      <c r="O11" s="60"/>
      <c r="P11" s="9">
        <v>-426489</v>
      </c>
      <c r="Q11" s="60"/>
      <c r="R11" s="9">
        <v>-417946</v>
      </c>
      <c r="S11" s="4"/>
      <c r="T11" s="9">
        <v>-463236</v>
      </c>
      <c r="U11" s="4"/>
      <c r="V11" s="9">
        <v>-444052</v>
      </c>
      <c r="W11" s="4"/>
      <c r="X11" s="9">
        <v>-422854</v>
      </c>
      <c r="Y11" s="4"/>
      <c r="Z11" s="9">
        <v>-397633</v>
      </c>
      <c r="AA11" s="4"/>
      <c r="AB11" s="9">
        <v>-438966</v>
      </c>
      <c r="AC11" s="4"/>
      <c r="AD11" s="90">
        <v>-474968</v>
      </c>
      <c r="AE11" s="4"/>
      <c r="AF11" s="9">
        <v>-431980</v>
      </c>
      <c r="AG11" s="4"/>
      <c r="AH11" s="9">
        <v>-478044</v>
      </c>
      <c r="AI11" s="4"/>
      <c r="AJ11" s="9">
        <v>-543456</v>
      </c>
      <c r="AK11" s="4"/>
      <c r="AL11" s="9">
        <v>-453740</v>
      </c>
      <c r="AM11" s="4">
        <v>-0.42857938976506249</v>
      </c>
      <c r="AN11" s="9">
        <v>-403812</v>
      </c>
      <c r="AO11" s="4"/>
      <c r="AP11" s="9">
        <v>-456996</v>
      </c>
      <c r="AQ11" s="4">
        <v>-0.53071249647253105</v>
      </c>
      <c r="AR11" s="9">
        <v>-359736</v>
      </c>
      <c r="AS11" s="4">
        <v>-0.30380927044933431</v>
      </c>
      <c r="AT11" s="9">
        <v>-362441</v>
      </c>
      <c r="AU11" s="4">
        <v>-0.29661064109425817</v>
      </c>
      <c r="AV11" s="9">
        <v>-375930</v>
      </c>
      <c r="AW11" s="4">
        <v>-0.29114596563837897</v>
      </c>
      <c r="AX11" s="9">
        <v>-391898</v>
      </c>
      <c r="AY11" s="4">
        <v>-0.27494803041772808</v>
      </c>
      <c r="AZ11" s="9"/>
      <c r="BA11" s="4">
        <v>-9.5629876315377116E-2</v>
      </c>
      <c r="BB11" s="2">
        <v>4.1279359461177556E-2</v>
      </c>
      <c r="BC11" s="70"/>
      <c r="BD11" s="70"/>
      <c r="BF11" s="115">
        <v>9.9647328336314178E-3</v>
      </c>
      <c r="BG11" s="115">
        <v>5.4214277099272623E-2</v>
      </c>
    </row>
    <row r="12" spans="1:60">
      <c r="A12" s="87" t="s">
        <v>86</v>
      </c>
      <c r="B12" s="3">
        <v>-196212</v>
      </c>
      <c r="C12" s="60">
        <v>-0.35549773886827457</v>
      </c>
      <c r="D12" s="3">
        <v>-205081</v>
      </c>
      <c r="E12" s="60">
        <v>-0.3036779382933229</v>
      </c>
      <c r="F12" s="3">
        <v>-143875</v>
      </c>
      <c r="G12" s="60">
        <v>-0.16786765203471346</v>
      </c>
      <c r="H12" s="3">
        <v>-143434</v>
      </c>
      <c r="I12" s="60">
        <v>-0.15942318935296643</v>
      </c>
      <c r="J12" s="3">
        <v>-142768</v>
      </c>
      <c r="K12" s="60">
        <v>-0.18910720861292946</v>
      </c>
      <c r="L12" s="3">
        <v>-83606</v>
      </c>
      <c r="M12" s="60">
        <v>-0.10054913204424806</v>
      </c>
      <c r="N12" s="3">
        <v>-114139</v>
      </c>
      <c r="O12" s="60">
        <v>-0.14431953388453578</v>
      </c>
      <c r="P12" s="3">
        <v>-130698</v>
      </c>
      <c r="Q12" s="60">
        <v>-0.16406217637393192</v>
      </c>
      <c r="R12" s="3">
        <v>-49450</v>
      </c>
      <c r="S12" s="4">
        <v>-5.0369956892688056E-2</v>
      </c>
      <c r="T12" s="3">
        <v>1366</v>
      </c>
      <c r="U12" s="4">
        <v>1.2296247754089449E-3</v>
      </c>
      <c r="V12" s="3">
        <v>-38967</v>
      </c>
      <c r="W12" s="4">
        <v>-4.0918398420682338E-2</v>
      </c>
      <c r="X12" s="3">
        <v>-167692</v>
      </c>
      <c r="Y12" s="4">
        <v>-0.26466335603696367</v>
      </c>
      <c r="Z12" s="3">
        <v>-17833</v>
      </c>
      <c r="AA12" s="4">
        <v>-1.9599072415346912E-2</v>
      </c>
      <c r="AB12" s="3">
        <v>1953</v>
      </c>
      <c r="AC12" s="4">
        <v>1.7334652885336553E-3</v>
      </c>
      <c r="AD12" s="85">
        <v>122708</v>
      </c>
      <c r="AE12" s="4">
        <v>8.791041889055258E-2</v>
      </c>
      <c r="AF12" s="3">
        <v>42247</v>
      </c>
      <c r="AG12" s="60">
        <v>4.1545299884943307E-2</v>
      </c>
      <c r="AH12" s="3">
        <v>71533</v>
      </c>
      <c r="AI12" s="60">
        <v>6.4558721334259897E-2</v>
      </c>
      <c r="AJ12" s="3">
        <v>69647</v>
      </c>
      <c r="AK12" s="60">
        <v>5.4386437554418063E-2</v>
      </c>
      <c r="AL12" s="3">
        <v>-12655</v>
      </c>
      <c r="AM12" s="60">
        <v>-1.195325996711083E-2</v>
      </c>
      <c r="AN12" s="3">
        <v>32169</v>
      </c>
      <c r="AO12" s="60">
        <v>3.3678363203700233E-2</v>
      </c>
      <c r="AP12" s="3">
        <v>-68956</v>
      </c>
      <c r="AQ12" s="60">
        <v>-8.0079061757126646E-2</v>
      </c>
      <c r="AR12" s="3">
        <v>170251</v>
      </c>
      <c r="AS12" s="4"/>
      <c r="AT12" s="3">
        <v>211455</v>
      </c>
      <c r="AU12" s="60">
        <v>0.17304831162199186</v>
      </c>
      <c r="AV12" s="3">
        <v>251090</v>
      </c>
      <c r="AW12" s="60">
        <v>0.19446131064863287</v>
      </c>
      <c r="AX12" s="3">
        <v>300224</v>
      </c>
      <c r="AY12" s="60"/>
      <c r="AZ12" s="3"/>
      <c r="BA12" s="60">
        <v>-4.3246327061014944E-2</v>
      </c>
      <c r="BB12" s="2">
        <v>0.37434158915163063</v>
      </c>
      <c r="BC12" s="70"/>
      <c r="BD12" s="70"/>
      <c r="BF12" s="115">
        <v>0.4254109470026064</v>
      </c>
      <c r="BG12" s="115">
        <v>1.4529459608162094</v>
      </c>
    </row>
    <row r="13" spans="1:60">
      <c r="A13" s="88" t="s">
        <v>87</v>
      </c>
      <c r="B13" s="7">
        <v>10446</v>
      </c>
      <c r="C13" s="61"/>
      <c r="D13" s="7">
        <v>18080</v>
      </c>
      <c r="E13" s="61"/>
      <c r="F13" s="7">
        <v>15780</v>
      </c>
      <c r="G13" s="61"/>
      <c r="H13" s="7">
        <v>23572</v>
      </c>
      <c r="I13" s="61"/>
      <c r="J13" s="7">
        <v>5097</v>
      </c>
      <c r="K13" s="61"/>
      <c r="L13" s="7">
        <v>-300106</v>
      </c>
      <c r="M13" s="61"/>
      <c r="N13" s="7">
        <v>10637</v>
      </c>
      <c r="O13" s="61"/>
      <c r="P13" s="7">
        <v>21751</v>
      </c>
      <c r="Q13" s="61"/>
      <c r="R13" s="7">
        <v>19046</v>
      </c>
      <c r="S13" s="25"/>
      <c r="T13" s="7">
        <v>24965</v>
      </c>
      <c r="U13" s="25"/>
      <c r="V13" s="7">
        <v>73336</v>
      </c>
      <c r="W13" s="25"/>
      <c r="X13" s="7">
        <v>11088</v>
      </c>
      <c r="Y13" s="25"/>
      <c r="Z13" s="7">
        <v>23393</v>
      </c>
      <c r="AA13" s="25"/>
      <c r="AB13" s="7">
        <v>34982</v>
      </c>
      <c r="AC13" s="25"/>
      <c r="AD13" s="91">
        <v>11432</v>
      </c>
      <c r="AE13" s="4"/>
      <c r="AF13" s="7">
        <v>6343</v>
      </c>
      <c r="AG13" s="4"/>
      <c r="AH13" s="7">
        <v>21458</v>
      </c>
      <c r="AI13" s="4"/>
      <c r="AJ13" s="7">
        <v>26054</v>
      </c>
      <c r="AK13" s="4"/>
      <c r="AL13" s="7">
        <v>8273</v>
      </c>
      <c r="AM13" s="4"/>
      <c r="AN13" s="7">
        <v>920731</v>
      </c>
      <c r="AO13" s="4"/>
      <c r="AP13" s="7">
        <v>28391</v>
      </c>
      <c r="AQ13" s="4"/>
      <c r="AR13" s="7">
        <v>-23835</v>
      </c>
      <c r="AS13" s="4"/>
      <c r="AT13" s="7">
        <v>25270</v>
      </c>
      <c r="AU13" s="4"/>
      <c r="AV13" s="7">
        <v>14601</v>
      </c>
      <c r="AW13" s="4"/>
      <c r="AX13" s="7">
        <v>28001</v>
      </c>
      <c r="AY13" s="4"/>
      <c r="AZ13" s="7"/>
      <c r="BA13" s="4">
        <v>-0.42223451327433625</v>
      </c>
      <c r="BB13" s="2">
        <v>1.0494408475573866</v>
      </c>
      <c r="BC13" s="70"/>
      <c r="BD13" s="70"/>
      <c r="BF13" s="115">
        <v>0.14575411913814951</v>
      </c>
      <c r="BG13" s="115" t="s">
        <v>166</v>
      </c>
    </row>
    <row r="14" spans="1:60">
      <c r="A14" s="88" t="s">
        <v>88</v>
      </c>
      <c r="B14" s="3">
        <v>-185766</v>
      </c>
      <c r="C14" s="61"/>
      <c r="D14" s="3">
        <v>-187001</v>
      </c>
      <c r="E14" s="61"/>
      <c r="F14" s="3">
        <v>-128095</v>
      </c>
      <c r="G14" s="61"/>
      <c r="H14" s="3">
        <v>-119862</v>
      </c>
      <c r="I14" s="61"/>
      <c r="J14" s="3">
        <v>-137671</v>
      </c>
      <c r="K14" s="61"/>
      <c r="L14" s="3">
        <v>-383712</v>
      </c>
      <c r="M14" s="61"/>
      <c r="N14" s="3">
        <v>-103502</v>
      </c>
      <c r="O14" s="61"/>
      <c r="P14" s="3">
        <v>-108947</v>
      </c>
      <c r="Q14" s="61"/>
      <c r="R14" s="3">
        <v>-30404</v>
      </c>
      <c r="S14" s="25"/>
      <c r="T14" s="3">
        <v>26331</v>
      </c>
      <c r="U14" s="25"/>
      <c r="V14" s="3">
        <v>34369</v>
      </c>
      <c r="W14" s="25"/>
      <c r="X14" s="3">
        <v>-156604</v>
      </c>
      <c r="Y14" s="25"/>
      <c r="Z14" s="3">
        <v>5560</v>
      </c>
      <c r="AA14" s="25"/>
      <c r="AB14" s="3">
        <v>36935</v>
      </c>
      <c r="AC14" s="25"/>
      <c r="AD14" s="85">
        <v>134140</v>
      </c>
      <c r="AE14" s="4"/>
      <c r="AF14" s="3">
        <v>48590</v>
      </c>
      <c r="AG14" s="4"/>
      <c r="AH14" s="3">
        <v>92991</v>
      </c>
      <c r="AI14" s="4"/>
      <c r="AJ14" s="3">
        <v>95701</v>
      </c>
      <c r="AK14" s="4"/>
      <c r="AL14" s="3">
        <v>-4382</v>
      </c>
      <c r="AM14" s="4"/>
      <c r="AN14" s="3">
        <v>952900</v>
      </c>
      <c r="AO14" s="4"/>
      <c r="AP14" s="3">
        <v>-40565</v>
      </c>
      <c r="AQ14" s="4"/>
      <c r="AR14" s="3">
        <v>146416</v>
      </c>
      <c r="AS14" s="4"/>
      <c r="AT14" s="3">
        <v>236725</v>
      </c>
      <c r="AU14" s="4"/>
      <c r="AV14" s="3">
        <v>265691</v>
      </c>
      <c r="AW14" s="4"/>
      <c r="AX14" s="3">
        <v>328225</v>
      </c>
      <c r="AY14" s="4"/>
      <c r="AZ14" s="3"/>
      <c r="BA14" s="4">
        <v>-6.6042427580601526E-3</v>
      </c>
      <c r="BB14" s="2">
        <v>0.3493473571049821</v>
      </c>
      <c r="BC14" s="70"/>
      <c r="BD14" s="70"/>
      <c r="BF14" s="115">
        <v>0.45986182130450048</v>
      </c>
      <c r="BG14" s="115">
        <v>-0.51265271870569595</v>
      </c>
    </row>
    <row r="15" spans="1:60">
      <c r="A15" s="88" t="s">
        <v>89</v>
      </c>
      <c r="B15" s="3">
        <v>89462</v>
      </c>
      <c r="C15" s="61"/>
      <c r="D15" s="3">
        <v>36650</v>
      </c>
      <c r="E15" s="61"/>
      <c r="F15" s="3">
        <v>22581</v>
      </c>
      <c r="G15" s="61"/>
      <c r="H15" s="3">
        <v>20590</v>
      </c>
      <c r="I15" s="61"/>
      <c r="J15" s="3">
        <v>23704</v>
      </c>
      <c r="K15" s="61"/>
      <c r="L15" s="3">
        <v>10265</v>
      </c>
      <c r="M15" s="61"/>
      <c r="N15" s="3">
        <v>20337</v>
      </c>
      <c r="O15" s="61"/>
      <c r="P15" s="3">
        <v>16126</v>
      </c>
      <c r="Q15" s="61"/>
      <c r="R15" s="3">
        <v>4529</v>
      </c>
      <c r="S15" s="25"/>
      <c r="T15" s="3">
        <v>-8500</v>
      </c>
      <c r="U15" s="25"/>
      <c r="V15" s="3">
        <v>-3324</v>
      </c>
      <c r="W15" s="25"/>
      <c r="X15" s="3">
        <v>21197</v>
      </c>
      <c r="Y15" s="25"/>
      <c r="Z15" s="3">
        <v>-4937</v>
      </c>
      <c r="AA15" s="25"/>
      <c r="AB15" s="3">
        <v>-964</v>
      </c>
      <c r="AC15" s="25"/>
      <c r="AD15" s="85">
        <v>-21890</v>
      </c>
      <c r="AE15" s="4"/>
      <c r="AF15" s="3">
        <v>-14910</v>
      </c>
      <c r="AG15" s="4"/>
      <c r="AH15" s="3">
        <v>-10242</v>
      </c>
      <c r="AI15" s="4"/>
      <c r="AJ15" s="3">
        <v>-29406</v>
      </c>
      <c r="AK15" s="4"/>
      <c r="AL15" s="3">
        <v>-39619</v>
      </c>
      <c r="AM15" s="4"/>
      <c r="AN15" s="3">
        <v>-36179</v>
      </c>
      <c r="AO15" s="4"/>
      <c r="AP15" s="3">
        <v>-7662</v>
      </c>
      <c r="AQ15" s="4"/>
      <c r="AR15" s="3">
        <v>-45897</v>
      </c>
      <c r="AS15" s="4"/>
      <c r="AT15" s="3">
        <v>-48393</v>
      </c>
      <c r="AU15" s="4"/>
      <c r="AV15" s="3">
        <v>-53018</v>
      </c>
      <c r="AW15" s="4"/>
      <c r="AX15" s="3">
        <v>-62532</v>
      </c>
      <c r="AY15" s="4"/>
      <c r="AZ15" s="3"/>
      <c r="BA15" s="4">
        <v>1.4409822646657573</v>
      </c>
      <c r="BB15" s="2">
        <v>2.7741309483631453</v>
      </c>
      <c r="BC15" s="70"/>
      <c r="BD15" s="70"/>
      <c r="BF15" s="115">
        <v>0.62304592356405819</v>
      </c>
      <c r="BG15" s="115">
        <v>2.5703848027277156</v>
      </c>
    </row>
    <row r="16" spans="1:60">
      <c r="A16" s="92" t="s">
        <v>90</v>
      </c>
      <c r="B16" s="9">
        <v>-96304</v>
      </c>
      <c r="C16" s="4"/>
      <c r="D16" s="9">
        <v>-150351</v>
      </c>
      <c r="E16" s="4"/>
      <c r="F16" s="9">
        <v>-105514</v>
      </c>
      <c r="G16" s="4"/>
      <c r="H16" s="9">
        <v>-99272</v>
      </c>
      <c r="I16" s="4"/>
      <c r="J16" s="9">
        <v>-113967</v>
      </c>
      <c r="K16" s="4"/>
      <c r="L16" s="9">
        <v>-373447</v>
      </c>
      <c r="M16" s="60"/>
      <c r="N16" s="9">
        <v>-83165</v>
      </c>
      <c r="O16" s="60"/>
      <c r="P16" s="9">
        <v>-92821</v>
      </c>
      <c r="Q16" s="60"/>
      <c r="R16" s="9">
        <v>-25875</v>
      </c>
      <c r="S16" s="4"/>
      <c r="T16" s="9">
        <v>17831</v>
      </c>
      <c r="U16" s="4"/>
      <c r="V16" s="9">
        <v>31045</v>
      </c>
      <c r="W16" s="4"/>
      <c r="X16" s="9">
        <v>-135407</v>
      </c>
      <c r="Y16" s="4"/>
      <c r="Z16" s="9">
        <v>623</v>
      </c>
      <c r="AA16" s="4"/>
      <c r="AB16" s="9">
        <v>35971</v>
      </c>
      <c r="AC16" s="4"/>
      <c r="AD16" s="90">
        <v>112250</v>
      </c>
      <c r="AE16" s="4"/>
      <c r="AF16" s="9">
        <v>33680</v>
      </c>
      <c r="AG16" s="4"/>
      <c r="AH16" s="9">
        <v>82749</v>
      </c>
      <c r="AI16" s="4"/>
      <c r="AJ16" s="9">
        <v>66295</v>
      </c>
      <c r="AK16" s="4">
        <v>5.1768904298392544E-2</v>
      </c>
      <c r="AL16" s="9">
        <v>-44001</v>
      </c>
      <c r="AM16" s="4">
        <v>-4.1561074027091534E-2</v>
      </c>
      <c r="AN16" s="9">
        <v>916721</v>
      </c>
      <c r="AO16" s="4"/>
      <c r="AP16" s="9">
        <v>-48227</v>
      </c>
      <c r="AQ16" s="4">
        <v>-5.6006336089114026E-2</v>
      </c>
      <c r="AR16" s="9">
        <v>100519</v>
      </c>
      <c r="AS16" s="4">
        <v>8.4891709632332141E-2</v>
      </c>
      <c r="AT16" s="9">
        <v>188332</v>
      </c>
      <c r="AU16" s="4">
        <v>0.15412515487641804</v>
      </c>
      <c r="AV16" s="9">
        <v>212673</v>
      </c>
      <c r="AW16" s="4">
        <v>0.16470855199162335</v>
      </c>
      <c r="AX16" s="9">
        <v>265693</v>
      </c>
      <c r="AY16" s="4">
        <v>0.18640505194151905</v>
      </c>
      <c r="AZ16" s="9"/>
      <c r="BA16" s="4">
        <v>-0.35947216845913899</v>
      </c>
      <c r="BB16" s="2">
        <v>-0.15498346012442199</v>
      </c>
      <c r="BC16" s="70"/>
      <c r="BD16" s="70"/>
      <c r="BF16" s="115">
        <v>0.42493887067119052</v>
      </c>
      <c r="BG16" s="115">
        <v>-0.59739668547344071</v>
      </c>
    </row>
    <row r="17" spans="1:54">
      <c r="A17" s="88"/>
      <c r="B17" s="8"/>
      <c r="C17" s="60"/>
      <c r="D17" s="8"/>
      <c r="E17" s="60"/>
      <c r="F17" s="8"/>
      <c r="G17" s="60"/>
      <c r="H17" s="8"/>
      <c r="I17" s="60"/>
      <c r="J17" s="8"/>
      <c r="K17" s="60"/>
      <c r="L17" s="8"/>
      <c r="M17" s="60"/>
      <c r="N17" s="8"/>
      <c r="O17" s="60"/>
      <c r="P17" s="8"/>
      <c r="Q17" s="60"/>
      <c r="R17" s="8"/>
      <c r="S17" s="6"/>
      <c r="T17" s="8"/>
      <c r="U17" s="6"/>
      <c r="V17" s="8"/>
      <c r="W17" s="6"/>
      <c r="X17" s="8"/>
      <c r="Y17" s="6"/>
      <c r="Z17" s="8"/>
      <c r="AA17" s="6"/>
      <c r="AB17" s="8"/>
      <c r="AC17" s="6"/>
      <c r="AD17" s="93"/>
      <c r="AE17" s="6"/>
      <c r="AF17" s="8"/>
      <c r="AG17" s="6"/>
      <c r="AH17" s="8"/>
      <c r="AI17" s="6"/>
      <c r="AJ17" s="8"/>
      <c r="AK17" s="6"/>
      <c r="AL17" s="8"/>
      <c r="AM17" s="6"/>
      <c r="AN17" s="8"/>
      <c r="AO17" s="6"/>
      <c r="AP17" s="8"/>
      <c r="AQ17" s="6"/>
      <c r="AR17" s="8"/>
      <c r="AS17" s="6"/>
      <c r="AT17" s="8"/>
      <c r="AU17" s="6"/>
      <c r="AV17" s="8"/>
      <c r="AW17" s="6"/>
      <c r="AX17" s="8"/>
      <c r="AY17" s="6"/>
      <c r="AZ17" s="8"/>
      <c r="BA17" s="6"/>
      <c r="BB17" s="2"/>
    </row>
    <row r="18" spans="1:54">
      <c r="A18" s="88"/>
      <c r="B18" s="5"/>
      <c r="C18" s="60"/>
      <c r="D18" s="5"/>
      <c r="E18" s="60"/>
      <c r="F18" s="5"/>
      <c r="G18" s="60"/>
      <c r="H18" s="5"/>
      <c r="I18" s="60"/>
      <c r="J18" s="5"/>
      <c r="K18" s="60"/>
      <c r="L18" s="5"/>
      <c r="M18" s="60"/>
      <c r="N18" s="5"/>
      <c r="O18" s="60"/>
      <c r="P18" s="5"/>
      <c r="Q18" s="60"/>
      <c r="R18" s="5"/>
      <c r="S18" s="6"/>
      <c r="T18" s="5"/>
      <c r="U18" s="6"/>
      <c r="V18" s="5"/>
      <c r="W18" s="6"/>
      <c r="X18" s="5"/>
      <c r="Y18" s="6"/>
      <c r="Z18" s="5"/>
      <c r="AA18" s="6"/>
      <c r="AB18" s="5"/>
      <c r="AC18" s="6"/>
      <c r="AD18" s="94"/>
      <c r="AE18" s="6"/>
      <c r="AF18" s="5"/>
      <c r="AG18" s="6"/>
      <c r="AH18" s="5"/>
      <c r="AI18" s="6"/>
      <c r="AJ18" s="5"/>
      <c r="AK18" s="6"/>
      <c r="AL18" s="5"/>
      <c r="AM18" s="6"/>
      <c r="AN18" s="5"/>
      <c r="AO18" s="6"/>
      <c r="AP18" s="5"/>
      <c r="AQ18" s="6"/>
      <c r="AR18" s="5"/>
      <c r="AS18" s="6"/>
      <c r="AT18" s="5"/>
      <c r="AU18" s="6"/>
      <c r="AV18" s="5"/>
      <c r="AW18" s="6"/>
      <c r="AX18" s="5"/>
      <c r="AY18" s="6"/>
      <c r="AZ18" s="5"/>
      <c r="BA18" s="6"/>
    </row>
    <row r="19" spans="1:54">
      <c r="A19" s="95" t="s">
        <v>91</v>
      </c>
      <c r="B19" s="108">
        <v>-0.33</v>
      </c>
      <c r="C19" s="60"/>
      <c r="D19" s="108">
        <v>-0.51000000000000012</v>
      </c>
      <c r="E19" s="60"/>
      <c r="F19" s="75">
        <v>-0.36</v>
      </c>
      <c r="G19" s="60"/>
      <c r="H19" s="75">
        <v>-0.34</v>
      </c>
      <c r="I19" s="60"/>
      <c r="J19" s="108">
        <v>-0.39</v>
      </c>
      <c r="K19" s="60"/>
      <c r="L19" s="11">
        <v>-1.2699999999999998</v>
      </c>
      <c r="M19" s="60"/>
      <c r="N19" s="11">
        <v>-0.28000000000000003</v>
      </c>
      <c r="O19" s="60"/>
      <c r="P19" s="11">
        <v>-0.31</v>
      </c>
      <c r="Q19" s="60"/>
      <c r="R19" s="96">
        <v>-0.09</v>
      </c>
      <c r="S19" s="6"/>
      <c r="T19" s="96">
        <v>0.06</v>
      </c>
      <c r="U19" s="6"/>
      <c r="V19" s="96">
        <v>0.11</v>
      </c>
      <c r="W19" s="6"/>
      <c r="X19" s="97">
        <v>-0.46</v>
      </c>
      <c r="Y19" s="6"/>
      <c r="Z19" s="96">
        <v>0</v>
      </c>
      <c r="AA19" s="6"/>
      <c r="AB19" s="97">
        <v>0.12</v>
      </c>
      <c r="AC19" s="6"/>
      <c r="AD19" s="98">
        <v>0.38</v>
      </c>
      <c r="AE19" s="6"/>
      <c r="AF19" s="11">
        <v>0.12</v>
      </c>
      <c r="AG19" s="6"/>
      <c r="AH19" s="11">
        <v>0.28000000000000003</v>
      </c>
      <c r="AI19" s="6"/>
      <c r="AJ19" s="11">
        <v>0.23</v>
      </c>
      <c r="AK19" s="6"/>
      <c r="AL19" s="11">
        <v>-0.15</v>
      </c>
      <c r="AM19" s="6"/>
      <c r="AN19" s="11">
        <v>3.13</v>
      </c>
      <c r="AO19" s="6"/>
      <c r="AP19" s="11">
        <v>-0.16</v>
      </c>
      <c r="AQ19" s="6"/>
      <c r="AR19" s="11">
        <v>0.3400000000000003</v>
      </c>
      <c r="AS19" s="6"/>
      <c r="AT19" s="11">
        <v>0.64</v>
      </c>
      <c r="AU19" s="6"/>
      <c r="AV19" s="11">
        <v>0.73</v>
      </c>
      <c r="AW19" s="6"/>
      <c r="AX19" s="11">
        <v>0.91</v>
      </c>
      <c r="AY19" s="6"/>
      <c r="AZ19" s="11"/>
      <c r="BA19" s="6"/>
    </row>
    <row r="20" spans="1:54">
      <c r="B20" s="10"/>
      <c r="D20" s="10"/>
      <c r="F20" s="10"/>
      <c r="H20" s="10"/>
      <c r="J20" s="10"/>
      <c r="K20" s="60"/>
      <c r="L20" s="10"/>
      <c r="N20" s="10"/>
      <c r="P20" s="10"/>
      <c r="R20" s="10"/>
      <c r="T20" s="10"/>
      <c r="V20" s="10"/>
      <c r="X20" s="10"/>
      <c r="Z20" s="10"/>
      <c r="AB20" s="10"/>
      <c r="AD20" s="10"/>
      <c r="AF20" s="10"/>
      <c r="AH20" s="10"/>
      <c r="AJ20" s="10"/>
      <c r="AL20" s="10"/>
      <c r="AN20" s="10"/>
      <c r="AP20" s="10"/>
      <c r="AR20" s="10"/>
      <c r="AT20" s="10"/>
      <c r="AV20" s="10"/>
      <c r="AX20" s="10"/>
      <c r="AZ20" s="10"/>
    </row>
    <row r="21" spans="1:54" hidden="1"/>
  </sheetData>
  <sheetProtection sheet="1" objects="1" scenarios="1"/>
  <mergeCells count="26">
    <mergeCell ref="AX2:AY2"/>
    <mergeCell ref="AZ2:BA2"/>
    <mergeCell ref="AL2:AM2"/>
    <mergeCell ref="AN2:AO2"/>
    <mergeCell ref="AP2:AQ2"/>
    <mergeCell ref="AR2:AS2"/>
    <mergeCell ref="AT2:AU2"/>
    <mergeCell ref="AV2:AW2"/>
    <mergeCell ref="AJ2:AK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L2:M2"/>
    <mergeCell ref="B2:C2"/>
    <mergeCell ref="D2:E2"/>
    <mergeCell ref="F2:G2"/>
    <mergeCell ref="H2:I2"/>
    <mergeCell ref="J2:K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7"/>
  <sheetViews>
    <sheetView zoomScaleNormal="100" workbookViewId="0">
      <selection activeCell="D9" sqref="D9"/>
    </sheetView>
  </sheetViews>
  <sheetFormatPr defaultColWidth="9" defaultRowHeight="15.75"/>
  <cols>
    <col min="1" max="1" width="46.875" style="20" customWidth="1"/>
    <col min="2" max="2" width="19.375" style="19" customWidth="1"/>
    <col min="3" max="3" width="2.125" style="18" customWidth="1"/>
    <col min="4" max="4" width="19.375" style="19" customWidth="1"/>
    <col min="5" max="5" width="2.125" style="18" customWidth="1"/>
    <col min="6" max="6" width="19.375" style="19" hidden="1" customWidth="1"/>
    <col min="7" max="7" width="2.125" style="18" customWidth="1"/>
    <col min="8" max="8" width="18.875" style="19" hidden="1" customWidth="1"/>
    <col min="9" max="9" width="2.125" style="18" hidden="1" customWidth="1"/>
    <col min="10" max="10" width="17.5" style="19" bestFit="1" customWidth="1"/>
    <col min="11" max="11" width="2.125" style="18" hidden="1" customWidth="1"/>
    <col min="12" max="12" width="17.5" style="19" hidden="1" customWidth="1"/>
    <col min="13" max="13" width="2.125" style="18" hidden="1" customWidth="1"/>
    <col min="14" max="14" width="17.5" style="19" hidden="1" customWidth="1"/>
    <col min="15" max="15" width="2.125" style="18" hidden="1" customWidth="1"/>
    <col min="16" max="16" width="18.875" style="19" hidden="1" customWidth="1"/>
    <col min="17" max="17" width="2.125" style="18" hidden="1" customWidth="1"/>
    <col min="18" max="18" width="17.5" style="19" hidden="1" customWidth="1"/>
    <col min="19" max="19" width="2.125" style="18" hidden="1" customWidth="1"/>
    <col min="20" max="20" width="17.5" style="19" hidden="1" customWidth="1"/>
    <col min="21" max="21" width="2.125" style="18" hidden="1" customWidth="1"/>
    <col min="22" max="22" width="17.5" style="19" hidden="1" customWidth="1"/>
    <col min="23" max="23" width="2.125" style="18" hidden="1" customWidth="1"/>
    <col min="24" max="24" width="18.875" style="19" hidden="1" customWidth="1"/>
    <col min="25" max="25" width="5.375" style="18" hidden="1" customWidth="1"/>
    <col min="26" max="26" width="17.5" style="19" hidden="1" customWidth="1"/>
    <col min="27" max="27" width="3.125" style="18" hidden="1" customWidth="1"/>
    <col min="28" max="28" width="17.5" style="19" hidden="1" customWidth="1"/>
    <col min="29" max="29" width="3.25" style="18" hidden="1" customWidth="1"/>
    <col min="30" max="30" width="17.5" style="19" hidden="1" customWidth="1"/>
    <col min="31" max="31" width="5.75" style="18" hidden="1" customWidth="1"/>
    <col min="32" max="32" width="18.875" style="19" hidden="1" customWidth="1"/>
    <col min="33" max="33" width="5.375" style="18" hidden="1" customWidth="1"/>
    <col min="34" max="34" width="17.5" style="20" hidden="1" customWidth="1"/>
    <col min="35" max="35" width="3.5" style="18" hidden="1" customWidth="1"/>
    <col min="36" max="36" width="17.5" style="20" hidden="1" customWidth="1"/>
    <col min="37" max="37" width="3.25" style="18" hidden="1" customWidth="1"/>
    <col min="38" max="38" width="17.5" style="20" hidden="1" customWidth="1"/>
    <col min="39" max="39" width="2.125" style="18" hidden="1" customWidth="1"/>
    <col min="40" max="44" width="0" style="12" hidden="1" customWidth="1"/>
    <col min="45" max="16384" width="9" style="12"/>
  </cols>
  <sheetData>
    <row r="1" spans="1:52" ht="76.5" customHeight="1">
      <c r="AH1" s="19"/>
      <c r="AJ1" s="19"/>
      <c r="AL1" s="19"/>
      <c r="AN1" s="19"/>
      <c r="AO1" s="18"/>
      <c r="AP1" s="19"/>
      <c r="AQ1" s="18"/>
      <c r="AR1" s="19"/>
      <c r="AS1" s="18"/>
      <c r="AT1" s="19"/>
      <c r="AU1" s="18"/>
      <c r="AV1" s="19"/>
      <c r="AW1" s="18"/>
      <c r="AX1" s="19"/>
      <c r="AY1" s="18"/>
      <c r="AZ1" s="19"/>
    </row>
    <row r="2" spans="1:52">
      <c r="A2" s="99" t="s">
        <v>92</v>
      </c>
    </row>
    <row r="3" spans="1:52" ht="17.25" thickBot="1">
      <c r="A3" s="20" t="s">
        <v>112</v>
      </c>
      <c r="B3" s="100">
        <v>43190</v>
      </c>
      <c r="C3" s="22"/>
      <c r="D3" s="100">
        <v>43100</v>
      </c>
      <c r="E3" s="22"/>
      <c r="F3" s="54">
        <v>42460</v>
      </c>
      <c r="G3" s="22"/>
      <c r="H3" s="54">
        <v>42369</v>
      </c>
      <c r="I3" s="22"/>
      <c r="J3" s="100">
        <v>42460</v>
      </c>
      <c r="K3" s="22"/>
      <c r="L3" s="54">
        <v>42185</v>
      </c>
      <c r="M3" s="22"/>
      <c r="N3" s="54">
        <v>42094</v>
      </c>
      <c r="O3" s="22"/>
      <c r="P3" s="54">
        <v>42004</v>
      </c>
      <c r="Q3" s="22"/>
      <c r="R3" s="54">
        <v>41912</v>
      </c>
      <c r="S3" s="22"/>
      <c r="T3" s="54">
        <v>41820</v>
      </c>
      <c r="U3" s="22"/>
      <c r="V3" s="54">
        <v>41729</v>
      </c>
      <c r="W3" s="22"/>
      <c r="X3" s="54">
        <v>41639</v>
      </c>
      <c r="Y3" s="22"/>
      <c r="Z3" s="54">
        <v>41547</v>
      </c>
      <c r="AA3" s="26"/>
      <c r="AB3" s="54">
        <v>41455</v>
      </c>
      <c r="AC3" s="26"/>
      <c r="AD3" s="54">
        <v>41364</v>
      </c>
      <c r="AE3" s="26"/>
      <c r="AF3" s="54">
        <v>41274</v>
      </c>
      <c r="AG3" s="26"/>
      <c r="AH3" s="54">
        <v>41182</v>
      </c>
      <c r="AI3" s="26"/>
      <c r="AJ3" s="54">
        <v>41090</v>
      </c>
      <c r="AK3" s="26"/>
      <c r="AL3" s="54">
        <v>40999</v>
      </c>
      <c r="AM3" s="26"/>
    </row>
    <row r="4" spans="1:52" ht="31.5">
      <c r="A4" s="101" t="s">
        <v>93</v>
      </c>
      <c r="B4" s="27">
        <v>2689854</v>
      </c>
      <c r="C4" s="23"/>
      <c r="D4" s="27">
        <v>2903342</v>
      </c>
      <c r="E4" s="23"/>
      <c r="F4" s="27">
        <v>2979478</v>
      </c>
      <c r="G4" s="23"/>
      <c r="H4" s="27">
        <v>3282926</v>
      </c>
      <c r="I4" s="23"/>
      <c r="J4" s="27">
        <v>3265165</v>
      </c>
      <c r="K4" s="23"/>
      <c r="L4" s="27">
        <f>593425+186995+50627+3066121</f>
        <v>3897168</v>
      </c>
      <c r="M4" s="23"/>
      <c r="N4" s="27">
        <f>736799+92761+51599+3287765</f>
        <v>4168924</v>
      </c>
      <c r="O4" s="23"/>
      <c r="P4" s="27">
        <f>418878+129338+52911+3515319</f>
        <v>4116446</v>
      </c>
      <c r="Q4" s="23"/>
      <c r="R4" s="27">
        <f>525368+24691+51211+3411377</f>
        <v>4012647</v>
      </c>
      <c r="S4" s="23"/>
      <c r="T4" s="27">
        <f>1401599+17266+50492+3270863</f>
        <v>4740220</v>
      </c>
      <c r="U4" s="23"/>
      <c r="V4" s="27">
        <f>760597+42+51019+4091600</f>
        <v>4903258</v>
      </c>
      <c r="W4" s="23"/>
      <c r="X4" s="27">
        <f>1577367+244+50561+3088464</f>
        <v>4716636</v>
      </c>
      <c r="Y4" s="23"/>
      <c r="Z4" s="27">
        <f>1743180+1238+50318+2643544</f>
        <v>4438280</v>
      </c>
      <c r="AA4" s="23"/>
      <c r="AB4" s="27">
        <f>2381463+129+51364+2786850</f>
        <v>5219806</v>
      </c>
      <c r="AC4" s="23"/>
      <c r="AD4" s="27">
        <v>3625331</v>
      </c>
      <c r="AE4" s="23"/>
      <c r="AF4" s="27">
        <v>3614991</v>
      </c>
      <c r="AG4" s="23"/>
      <c r="AH4" s="30">
        <f>1754179+3120+2881+2182065</f>
        <v>3942245</v>
      </c>
      <c r="AI4" s="23"/>
      <c r="AJ4" s="30">
        <f>2006922+163+2786+2580689</f>
        <v>4590560</v>
      </c>
      <c r="AK4" s="23"/>
      <c r="AL4" s="30">
        <f>2665428+155+3017+1593159</f>
        <v>4261759</v>
      </c>
      <c r="AM4" s="23"/>
    </row>
    <row r="5" spans="1:52">
      <c r="A5" s="20" t="s">
        <v>94</v>
      </c>
      <c r="B5" s="71">
        <v>137313</v>
      </c>
      <c r="C5" s="23"/>
      <c r="D5" s="71">
        <v>281223</v>
      </c>
      <c r="E5" s="23"/>
      <c r="F5" s="71">
        <v>270828</v>
      </c>
      <c r="G5" s="23"/>
      <c r="H5" s="71">
        <v>237798</v>
      </c>
      <c r="I5" s="23"/>
      <c r="J5" s="71">
        <v>272793</v>
      </c>
      <c r="K5" s="23"/>
      <c r="L5" s="71">
        <v>155076</v>
      </c>
      <c r="M5" s="23"/>
      <c r="N5" s="71">
        <v>171856</v>
      </c>
      <c r="O5" s="23"/>
      <c r="P5" s="71">
        <v>164134</v>
      </c>
      <c r="Q5" s="23"/>
      <c r="R5" s="27">
        <v>284069</v>
      </c>
      <c r="S5" s="23"/>
      <c r="T5" s="27">
        <v>193296</v>
      </c>
      <c r="U5" s="23"/>
      <c r="V5" s="27">
        <v>234289</v>
      </c>
      <c r="W5" s="23"/>
      <c r="X5" s="71">
        <f>593457+4</f>
        <v>593461</v>
      </c>
      <c r="Y5" s="23"/>
      <c r="Z5" s="27">
        <v>494568</v>
      </c>
      <c r="AA5" s="23"/>
      <c r="AB5" s="27">
        <v>361040</v>
      </c>
      <c r="AC5" s="23"/>
      <c r="AD5" s="27">
        <v>364952</v>
      </c>
      <c r="AE5" s="23"/>
      <c r="AF5" s="27">
        <v>603040</v>
      </c>
      <c r="AG5" s="23"/>
      <c r="AH5" s="31">
        <v>663654</v>
      </c>
      <c r="AI5" s="23"/>
      <c r="AJ5" s="31">
        <v>428802</v>
      </c>
      <c r="AK5" s="23"/>
      <c r="AL5" s="31">
        <v>665054</v>
      </c>
      <c r="AM5" s="23"/>
    </row>
    <row r="6" spans="1:52">
      <c r="A6" s="20" t="s">
        <v>95</v>
      </c>
      <c r="B6" s="27">
        <v>813040</v>
      </c>
      <c r="C6" s="23"/>
      <c r="D6" s="27">
        <v>588499</v>
      </c>
      <c r="E6" s="23"/>
      <c r="F6" s="27">
        <v>686987</v>
      </c>
      <c r="G6" s="23"/>
      <c r="H6" s="27">
        <v>582756</v>
      </c>
      <c r="I6" s="23"/>
      <c r="J6" s="27">
        <v>590828</v>
      </c>
      <c r="K6" s="23"/>
      <c r="L6" s="27">
        <v>500135</v>
      </c>
      <c r="M6" s="23"/>
      <c r="N6" s="27">
        <v>486091</v>
      </c>
      <c r="O6" s="23"/>
      <c r="P6" s="27">
        <v>512045</v>
      </c>
      <c r="Q6" s="23"/>
      <c r="R6" s="27">
        <v>509343</v>
      </c>
      <c r="S6" s="23"/>
      <c r="T6" s="27">
        <v>560753</v>
      </c>
      <c r="U6" s="23"/>
      <c r="V6" s="27">
        <v>430168</v>
      </c>
      <c r="W6" s="23"/>
      <c r="X6" s="27">
        <v>386480</v>
      </c>
      <c r="Y6" s="23"/>
      <c r="Z6" s="27">
        <v>458841</v>
      </c>
      <c r="AA6" s="23"/>
      <c r="AB6" s="27">
        <v>550460</v>
      </c>
      <c r="AC6" s="23"/>
      <c r="AD6" s="27">
        <v>495408</v>
      </c>
      <c r="AE6" s="23"/>
      <c r="AF6" s="27">
        <v>503524</v>
      </c>
      <c r="AG6" s="23"/>
      <c r="AH6" s="31">
        <v>375785</v>
      </c>
      <c r="AI6" s="23"/>
      <c r="AJ6" s="31">
        <v>311444</v>
      </c>
      <c r="AK6" s="23"/>
      <c r="AL6" s="31">
        <v>311032</v>
      </c>
      <c r="AM6" s="23"/>
    </row>
    <row r="7" spans="1:52">
      <c r="A7" s="20" t="s">
        <v>96</v>
      </c>
      <c r="B7" s="71">
        <v>266957</v>
      </c>
      <c r="C7" s="23"/>
      <c r="D7" s="71">
        <v>260711</v>
      </c>
      <c r="E7" s="23"/>
      <c r="F7" s="71">
        <v>304077</v>
      </c>
      <c r="G7" s="23"/>
      <c r="H7" s="71">
        <v>323441</v>
      </c>
      <c r="I7" s="23"/>
      <c r="J7" s="71">
        <v>301760</v>
      </c>
      <c r="K7" s="23"/>
      <c r="L7" s="71">
        <f>332555+58255</f>
        <v>390810</v>
      </c>
      <c r="M7" s="23"/>
      <c r="N7" s="71">
        <f>373307+57791</f>
        <v>431098</v>
      </c>
      <c r="O7" s="23"/>
      <c r="P7" s="71">
        <f>457267+108434</f>
        <v>565701</v>
      </c>
      <c r="Q7" s="23"/>
      <c r="R7" s="27">
        <f>587378+57238</f>
        <v>644616</v>
      </c>
      <c r="S7" s="23"/>
      <c r="T7" s="27">
        <f>292545+40311</f>
        <v>332856</v>
      </c>
      <c r="U7" s="23"/>
      <c r="V7" s="27">
        <f>332772+18385</f>
        <v>351157</v>
      </c>
      <c r="W7" s="23"/>
      <c r="X7" s="27">
        <f>20697+1695+87160</f>
        <v>109552</v>
      </c>
      <c r="Y7" s="23"/>
      <c r="Z7" s="27">
        <f>33031+20559+1995</f>
        <v>55585</v>
      </c>
      <c r="AA7" s="23"/>
      <c r="AB7" s="27">
        <f>35599+31921+1200</f>
        <v>68720</v>
      </c>
      <c r="AC7" s="23"/>
      <c r="AD7" s="27">
        <v>865349</v>
      </c>
      <c r="AE7" s="23"/>
      <c r="AF7" s="27">
        <v>70121</v>
      </c>
      <c r="AG7" s="23"/>
      <c r="AH7" s="31">
        <f>54394+16516+1483</f>
        <v>72393</v>
      </c>
      <c r="AI7" s="23"/>
      <c r="AJ7" s="31">
        <f>66177+14942+1446</f>
        <v>82565</v>
      </c>
      <c r="AK7" s="23"/>
      <c r="AL7" s="31">
        <v>174761</v>
      </c>
      <c r="AM7" s="23"/>
    </row>
    <row r="8" spans="1:52">
      <c r="A8" s="102" t="s">
        <v>109</v>
      </c>
      <c r="B8" s="27">
        <v>3907164</v>
      </c>
      <c r="C8" s="23"/>
      <c r="D8" s="27">
        <v>4033775</v>
      </c>
      <c r="E8" s="23"/>
      <c r="F8" s="27">
        <v>4241370</v>
      </c>
      <c r="G8" s="23"/>
      <c r="H8" s="27">
        <v>4426921</v>
      </c>
      <c r="I8" s="23"/>
      <c r="J8" s="27">
        <v>4430546</v>
      </c>
      <c r="K8" s="23"/>
      <c r="L8" s="27">
        <f>SUM(L4:L7)</f>
        <v>4943189</v>
      </c>
      <c r="M8" s="23"/>
      <c r="N8" s="27">
        <f>SUM(N4:N7)</f>
        <v>5257969</v>
      </c>
      <c r="O8" s="23"/>
      <c r="P8" s="27">
        <f>SUM(P4:P7)</f>
        <v>5358326</v>
      </c>
      <c r="Q8" s="23"/>
      <c r="R8" s="27">
        <f>SUM(R4:R7)</f>
        <v>5450675</v>
      </c>
      <c r="S8" s="23"/>
      <c r="T8" s="27">
        <f>SUM(T4:T7)</f>
        <v>5827125</v>
      </c>
      <c r="U8" s="23"/>
      <c r="V8" s="27">
        <f>SUM(V4:V7)</f>
        <v>5918872</v>
      </c>
      <c r="W8" s="23"/>
      <c r="X8" s="27">
        <f>SUM(X4:X7)</f>
        <v>5806129</v>
      </c>
      <c r="Y8" s="23"/>
      <c r="Z8" s="27">
        <f>SUM(Z4:Z7)</f>
        <v>5447274</v>
      </c>
      <c r="AA8" s="23"/>
      <c r="AB8" s="27">
        <f>SUM(AB4:AB7)</f>
        <v>6200026</v>
      </c>
      <c r="AC8" s="23"/>
      <c r="AD8" s="27">
        <v>5351040</v>
      </c>
      <c r="AE8" s="23"/>
      <c r="AF8" s="27">
        <v>4791676</v>
      </c>
      <c r="AG8" s="23"/>
      <c r="AH8" s="31">
        <f>SUM(AH4:AH7)</f>
        <v>5054077</v>
      </c>
      <c r="AI8" s="23"/>
      <c r="AJ8" s="31">
        <f>SUM(AJ4:AJ7)</f>
        <v>5413371</v>
      </c>
      <c r="AK8" s="23"/>
      <c r="AL8" s="31">
        <v>5412606</v>
      </c>
      <c r="AM8" s="23"/>
    </row>
    <row r="9" spans="1:52">
      <c r="A9" s="20" t="s">
        <v>110</v>
      </c>
      <c r="B9" s="27">
        <v>77079</v>
      </c>
      <c r="C9" s="23"/>
      <c r="D9" s="27">
        <v>75209</v>
      </c>
      <c r="E9" s="23"/>
      <c r="F9" s="27">
        <v>58455</v>
      </c>
      <c r="G9" s="23"/>
      <c r="H9" s="27">
        <v>58203</v>
      </c>
      <c r="I9" s="23"/>
      <c r="J9" s="27">
        <v>57997</v>
      </c>
      <c r="K9" s="23"/>
      <c r="L9" s="27">
        <f>51532+45126+4871</f>
        <v>101529</v>
      </c>
      <c r="M9" s="23"/>
      <c r="N9" s="27">
        <f>50483+45820+4871</f>
        <v>101174</v>
      </c>
      <c r="O9" s="23"/>
      <c r="P9" s="27">
        <f>44444+46306+4871</f>
        <v>95621</v>
      </c>
      <c r="Q9" s="23"/>
      <c r="R9" s="27">
        <f>43199+4871</f>
        <v>48070</v>
      </c>
      <c r="S9" s="23"/>
      <c r="T9" s="27">
        <f>34593+30370</f>
        <v>64963</v>
      </c>
      <c r="U9" s="23"/>
      <c r="V9" s="27">
        <f>27453+30370</f>
        <v>57823</v>
      </c>
      <c r="W9" s="23"/>
      <c r="X9" s="27">
        <v>58248</v>
      </c>
      <c r="Y9" s="23"/>
      <c r="Z9" s="27">
        <f>31510+27692</f>
        <v>59202</v>
      </c>
      <c r="AA9" s="23"/>
      <c r="AB9" s="27">
        <f>31510+27449</f>
        <v>58959</v>
      </c>
      <c r="AC9" s="23"/>
      <c r="AD9" s="27">
        <v>46871</v>
      </c>
      <c r="AE9" s="23"/>
      <c r="AF9" s="27">
        <v>47939</v>
      </c>
      <c r="AG9" s="23"/>
      <c r="AH9" s="31">
        <f>31510+17798</f>
        <v>49308</v>
      </c>
      <c r="AI9" s="23"/>
      <c r="AJ9" s="31">
        <f>31510+18658</f>
        <v>50168</v>
      </c>
      <c r="AK9" s="23"/>
      <c r="AL9" s="31">
        <v>23004</v>
      </c>
      <c r="AM9" s="23"/>
    </row>
    <row r="10" spans="1:52">
      <c r="A10" s="20" t="s">
        <v>111</v>
      </c>
      <c r="B10" s="27">
        <v>618270</v>
      </c>
      <c r="C10" s="23"/>
      <c r="D10" s="27">
        <v>617193</v>
      </c>
      <c r="E10" s="23"/>
      <c r="F10" s="27">
        <v>629080</v>
      </c>
      <c r="G10" s="23"/>
      <c r="H10" s="27">
        <v>634556</v>
      </c>
      <c r="I10" s="23"/>
      <c r="J10" s="27">
        <v>632213</v>
      </c>
      <c r="K10" s="23"/>
      <c r="L10" s="27">
        <f>546137+136234</f>
        <v>682371</v>
      </c>
      <c r="M10" s="23"/>
      <c r="N10" s="27">
        <f>544843+137575</f>
        <v>682418</v>
      </c>
      <c r="O10" s="23"/>
      <c r="P10" s="27">
        <v>685008</v>
      </c>
      <c r="Q10" s="23"/>
      <c r="R10" s="27">
        <v>685093</v>
      </c>
      <c r="S10" s="23"/>
      <c r="T10" s="27">
        <v>691939</v>
      </c>
      <c r="U10" s="23"/>
      <c r="V10" s="27">
        <v>701894</v>
      </c>
      <c r="W10" s="23"/>
      <c r="X10" s="27">
        <v>702819</v>
      </c>
      <c r="Y10" s="23"/>
      <c r="Z10" s="27">
        <v>700554</v>
      </c>
      <c r="AA10" s="23"/>
      <c r="AB10" s="27">
        <v>705096</v>
      </c>
      <c r="AC10" s="23"/>
      <c r="AD10" s="27">
        <v>710381</v>
      </c>
      <c r="AE10" s="23"/>
      <c r="AF10" s="27">
        <v>1510778</v>
      </c>
      <c r="AG10" s="23"/>
      <c r="AH10" s="31">
        <f>553226+942868</f>
        <v>1496094</v>
      </c>
      <c r="AI10" s="23"/>
      <c r="AJ10" s="31">
        <f>558305+944382</f>
        <v>1502687</v>
      </c>
      <c r="AK10" s="23"/>
      <c r="AL10" s="31">
        <v>1511911</v>
      </c>
      <c r="AM10" s="23"/>
    </row>
    <row r="11" spans="1:52">
      <c r="A11" s="20" t="s">
        <v>97</v>
      </c>
      <c r="B11" s="27">
        <v>168060</v>
      </c>
      <c r="C11" s="23"/>
      <c r="D11" s="27">
        <v>175351</v>
      </c>
      <c r="E11" s="23"/>
      <c r="F11" s="27">
        <v>137918</v>
      </c>
      <c r="G11" s="23"/>
      <c r="H11" s="27">
        <v>156530</v>
      </c>
      <c r="I11" s="23"/>
      <c r="J11" s="27">
        <v>149422</v>
      </c>
      <c r="K11" s="23"/>
      <c r="L11" s="27">
        <f>319236+177255</f>
        <v>496491</v>
      </c>
      <c r="M11" s="23"/>
      <c r="N11" s="27">
        <f>319236+203046</f>
        <v>522282</v>
      </c>
      <c r="O11" s="23"/>
      <c r="P11" s="27">
        <f>319236+229189</f>
        <v>548425</v>
      </c>
      <c r="Q11" s="23"/>
      <c r="R11" s="27">
        <f>319236+157863</f>
        <v>477099</v>
      </c>
      <c r="S11" s="23"/>
      <c r="T11" s="27">
        <f>319236+182882</f>
        <v>502118</v>
      </c>
      <c r="U11" s="23"/>
      <c r="V11" s="27">
        <f>319236+209847</f>
        <v>529083</v>
      </c>
      <c r="W11" s="23"/>
      <c r="X11" s="27">
        <v>555299</v>
      </c>
      <c r="Y11" s="23"/>
      <c r="Z11" s="27">
        <v>574236</v>
      </c>
      <c r="AA11" s="23"/>
      <c r="AB11" s="27">
        <v>590958</v>
      </c>
      <c r="AC11" s="23"/>
      <c r="AD11" s="27">
        <v>612668</v>
      </c>
      <c r="AE11" s="23"/>
      <c r="AF11" s="27">
        <v>542855</v>
      </c>
      <c r="AG11" s="23"/>
      <c r="AH11" s="31">
        <v>101039</v>
      </c>
      <c r="AI11" s="23"/>
      <c r="AJ11" s="31">
        <v>112398</v>
      </c>
      <c r="AK11" s="23"/>
      <c r="AL11" s="31">
        <v>126662</v>
      </c>
      <c r="AM11" s="23"/>
    </row>
    <row r="12" spans="1:52">
      <c r="A12" s="20" t="s">
        <v>98</v>
      </c>
      <c r="B12" s="33">
        <v>422072</v>
      </c>
      <c r="C12" s="23"/>
      <c r="D12" s="33">
        <v>329165</v>
      </c>
      <c r="E12" s="23"/>
      <c r="F12" s="33">
        <v>293337</v>
      </c>
      <c r="G12" s="23"/>
      <c r="H12" s="33">
        <v>270000</v>
      </c>
      <c r="I12" s="23"/>
      <c r="J12" s="33">
        <v>248542</v>
      </c>
      <c r="K12" s="23"/>
      <c r="L12" s="33">
        <f>164165+11889</f>
        <v>176054</v>
      </c>
      <c r="M12" s="23"/>
      <c r="N12" s="33">
        <f>145670+11579</f>
        <v>157249</v>
      </c>
      <c r="O12" s="23"/>
      <c r="P12" s="33">
        <f>141138+12047</f>
        <v>153185</v>
      </c>
      <c r="Q12" s="23"/>
      <c r="R12" s="33">
        <f>140619+11390</f>
        <v>152009</v>
      </c>
      <c r="S12" s="23"/>
      <c r="T12" s="33">
        <f>116162+51+11444</f>
        <v>127657</v>
      </c>
      <c r="U12" s="23"/>
      <c r="V12" s="33">
        <f>83840+51+11628</f>
        <v>95519</v>
      </c>
      <c r="W12" s="23"/>
      <c r="X12" s="33">
        <v>116283</v>
      </c>
      <c r="Y12" s="23"/>
      <c r="Z12" s="33">
        <f>138928+1762+11429</f>
        <v>152119</v>
      </c>
      <c r="AA12" s="23"/>
      <c r="AB12" s="33">
        <f>157221+11334</f>
        <v>168555</v>
      </c>
      <c r="AC12" s="23"/>
      <c r="AD12" s="33">
        <v>167354</v>
      </c>
      <c r="AE12" s="23"/>
      <c r="AF12" s="33">
        <v>165327</v>
      </c>
      <c r="AG12" s="23"/>
      <c r="AH12" s="32">
        <f>158829+7002</f>
        <v>165831</v>
      </c>
      <c r="AI12" s="23"/>
      <c r="AJ12" s="32">
        <f>122482+5900</f>
        <v>128382</v>
      </c>
      <c r="AK12" s="23"/>
      <c r="AL12" s="32">
        <v>165258</v>
      </c>
      <c r="AM12" s="23"/>
    </row>
    <row r="13" spans="1:52" s="13" customFormat="1">
      <c r="A13" s="102" t="s">
        <v>99</v>
      </c>
      <c r="B13" s="34">
        <v>5192645</v>
      </c>
      <c r="C13" s="24"/>
      <c r="D13" s="34">
        <v>5230693</v>
      </c>
      <c r="E13" s="24"/>
      <c r="F13" s="34">
        <v>5360160</v>
      </c>
      <c r="G13" s="24"/>
      <c r="H13" s="34">
        <v>5546210</v>
      </c>
      <c r="I13" s="24"/>
      <c r="J13" s="34">
        <v>5518720</v>
      </c>
      <c r="K13" s="24"/>
      <c r="L13" s="34">
        <f>SUM(L8:L12)</f>
        <v>6399634</v>
      </c>
      <c r="M13" s="24"/>
      <c r="N13" s="34">
        <f>SUM(N8:N12)</f>
        <v>6721092</v>
      </c>
      <c r="O13" s="24"/>
      <c r="P13" s="34">
        <f>SUM(P8:P12)</f>
        <v>6840565</v>
      </c>
      <c r="Q13" s="24"/>
      <c r="R13" s="34">
        <f>SUM(R8:R12)</f>
        <v>6812946</v>
      </c>
      <c r="S13" s="24"/>
      <c r="T13" s="34">
        <f>SUM(T8:T12)</f>
        <v>7213802</v>
      </c>
      <c r="U13" s="24"/>
      <c r="V13" s="34">
        <f>SUM(V8:V12)</f>
        <v>7303191</v>
      </c>
      <c r="W13" s="24"/>
      <c r="X13" s="34">
        <f>SUM(X8:X12)</f>
        <v>7238778</v>
      </c>
      <c r="Y13" s="24"/>
      <c r="Z13" s="34">
        <f>SUM(Z8:Z12)</f>
        <v>6933385</v>
      </c>
      <c r="AA13" s="24"/>
      <c r="AB13" s="34">
        <f>SUM(AB8:AB12)</f>
        <v>7723594</v>
      </c>
      <c r="AC13" s="24"/>
      <c r="AD13" s="34">
        <f>SUM(AD8:AD12)</f>
        <v>6888314</v>
      </c>
      <c r="AE13" s="24"/>
      <c r="AF13" s="46">
        <f>SUM(AF8:AF12)</f>
        <v>7058575</v>
      </c>
      <c r="AG13" s="24"/>
      <c r="AH13" s="34">
        <f>SUM(AH8:AH12)</f>
        <v>6866349</v>
      </c>
      <c r="AI13" s="24"/>
      <c r="AJ13" s="34">
        <f>SUM(AJ8:AJ12)</f>
        <v>7207006</v>
      </c>
      <c r="AK13" s="24"/>
      <c r="AL13" s="34">
        <f>SUM(AL8:AL12)</f>
        <v>7239441</v>
      </c>
      <c r="AM13" s="24"/>
    </row>
    <row r="14" spans="1:52">
      <c r="B14" s="35"/>
      <c r="C14" s="23"/>
      <c r="D14" s="35"/>
      <c r="E14" s="23"/>
      <c r="F14" s="35"/>
      <c r="G14" s="23"/>
      <c r="H14" s="35"/>
      <c r="I14" s="23"/>
      <c r="J14" s="35"/>
      <c r="K14" s="23"/>
      <c r="L14" s="35"/>
      <c r="M14" s="23"/>
      <c r="N14" s="35"/>
      <c r="O14" s="23"/>
      <c r="P14" s="35"/>
      <c r="Q14" s="23"/>
      <c r="R14" s="35"/>
      <c r="S14" s="23"/>
      <c r="T14" s="35"/>
      <c r="U14" s="23"/>
      <c r="V14" s="35"/>
      <c r="W14" s="23"/>
      <c r="X14" s="35"/>
      <c r="Y14" s="23"/>
      <c r="Z14" s="35"/>
      <c r="AA14" s="23"/>
      <c r="AB14" s="35"/>
      <c r="AC14" s="23"/>
      <c r="AD14" s="35"/>
      <c r="AE14" s="23"/>
      <c r="AF14" s="35"/>
      <c r="AG14" s="23"/>
      <c r="AH14" s="30"/>
      <c r="AI14" s="23"/>
      <c r="AJ14" s="30"/>
      <c r="AK14" s="23"/>
      <c r="AL14" s="30"/>
      <c r="AM14" s="23"/>
    </row>
    <row r="15" spans="1:52">
      <c r="A15" s="20" t="s">
        <v>100</v>
      </c>
      <c r="B15" s="27">
        <v>614578</v>
      </c>
      <c r="C15" s="23"/>
      <c r="D15" s="27">
        <v>407748</v>
      </c>
      <c r="E15" s="23"/>
      <c r="F15" s="27">
        <v>471692</v>
      </c>
      <c r="G15" s="23"/>
      <c r="H15" s="27">
        <v>540847</v>
      </c>
      <c r="I15" s="23"/>
      <c r="J15" s="27">
        <v>474493</v>
      </c>
      <c r="K15" s="23"/>
      <c r="L15" s="27">
        <v>324307</v>
      </c>
      <c r="M15" s="23"/>
      <c r="N15" s="27">
        <v>451214</v>
      </c>
      <c r="O15" s="23"/>
      <c r="P15" s="27">
        <v>511217</v>
      </c>
      <c r="Q15" s="23"/>
      <c r="R15" s="27">
        <v>604935</v>
      </c>
      <c r="S15" s="23"/>
      <c r="T15" s="27">
        <v>484040</v>
      </c>
      <c r="U15" s="23"/>
      <c r="V15" s="27">
        <v>554009</v>
      </c>
      <c r="W15" s="23"/>
      <c r="X15" s="27">
        <v>492527</v>
      </c>
      <c r="Y15" s="23"/>
      <c r="Z15" s="27">
        <v>456522</v>
      </c>
      <c r="AA15" s="23"/>
      <c r="AB15" s="27">
        <v>574761</v>
      </c>
      <c r="AC15" s="23"/>
      <c r="AD15" s="27">
        <v>491152</v>
      </c>
      <c r="AE15" s="23"/>
      <c r="AF15" s="27">
        <v>643566</v>
      </c>
      <c r="AG15" s="23"/>
      <c r="AH15" s="31">
        <v>641041</v>
      </c>
      <c r="AI15" s="23"/>
      <c r="AJ15" s="31">
        <v>667224</v>
      </c>
      <c r="AK15" s="23"/>
      <c r="AL15" s="31">
        <v>862357</v>
      </c>
      <c r="AM15" s="23"/>
    </row>
    <row r="16" spans="1:52">
      <c r="A16" s="20" t="s">
        <v>101</v>
      </c>
      <c r="B16" s="27">
        <v>258703</v>
      </c>
      <c r="C16" s="23"/>
      <c r="D16" s="27">
        <v>419288</v>
      </c>
      <c r="E16" s="23"/>
      <c r="F16" s="27">
        <v>327897</v>
      </c>
      <c r="G16" s="23"/>
      <c r="H16" s="27">
        <v>358654</v>
      </c>
      <c r="I16" s="23"/>
      <c r="J16" s="27">
        <v>274172</v>
      </c>
      <c r="K16" s="23"/>
      <c r="L16" s="27">
        <f>548063+6486+12562+32422</f>
        <v>599533</v>
      </c>
      <c r="M16" s="23"/>
      <c r="N16" s="27">
        <f>342682+38058+10372+51478</f>
        <v>442590</v>
      </c>
      <c r="O16" s="23"/>
      <c r="P16" s="27">
        <f>419264+30038+7313+59797</f>
        <v>516412</v>
      </c>
      <c r="Q16" s="23"/>
      <c r="R16" s="27">
        <f>1075266-R15</f>
        <v>470331</v>
      </c>
      <c r="S16" s="23"/>
      <c r="T16" s="27">
        <f>1644198-T15</f>
        <v>1160158</v>
      </c>
      <c r="U16" s="23"/>
      <c r="V16" s="27">
        <f>1107829-554009</f>
        <v>553820</v>
      </c>
      <c r="W16" s="23"/>
      <c r="X16" s="27">
        <f>1120772-X15</f>
        <v>628245</v>
      </c>
      <c r="Y16" s="23"/>
      <c r="Z16" s="27">
        <f>895552-Z15</f>
        <v>439030</v>
      </c>
      <c r="AA16" s="23"/>
      <c r="AB16" s="27">
        <f>1651311-AB15</f>
        <v>1076550</v>
      </c>
      <c r="AC16" s="23"/>
      <c r="AD16" s="27">
        <v>673348</v>
      </c>
      <c r="AE16" s="23"/>
      <c r="AF16" s="27">
        <v>667797</v>
      </c>
      <c r="AG16" s="23"/>
      <c r="AH16" s="31">
        <f>1251636-AH15</f>
        <v>610595</v>
      </c>
      <c r="AI16" s="23"/>
      <c r="AJ16" s="31">
        <f>1786339-667224</f>
        <v>1119115</v>
      </c>
      <c r="AK16" s="23"/>
      <c r="AL16" s="31">
        <v>648109</v>
      </c>
      <c r="AM16" s="23"/>
    </row>
    <row r="17" spans="1:39">
      <c r="A17" s="20" t="s">
        <v>102</v>
      </c>
      <c r="B17" s="33">
        <v>12047</v>
      </c>
      <c r="C17" s="23"/>
      <c r="D17" s="33">
        <v>8218</v>
      </c>
      <c r="E17" s="23"/>
      <c r="F17" s="33">
        <v>12990</v>
      </c>
      <c r="G17" s="23"/>
      <c r="H17" s="33">
        <v>13154</v>
      </c>
      <c r="I17" s="23"/>
      <c r="J17" s="33">
        <v>12903</v>
      </c>
      <c r="K17" s="23"/>
      <c r="L17" s="33">
        <v>31719</v>
      </c>
      <c r="M17" s="23"/>
      <c r="N17" s="33">
        <v>34202</v>
      </c>
      <c r="O17" s="23"/>
      <c r="P17" s="33">
        <v>38915</v>
      </c>
      <c r="Q17" s="23"/>
      <c r="R17" s="33">
        <v>35734</v>
      </c>
      <c r="S17" s="23"/>
      <c r="T17" s="33">
        <v>20352</v>
      </c>
      <c r="U17" s="23"/>
      <c r="V17" s="33">
        <v>0</v>
      </c>
      <c r="W17" s="23"/>
      <c r="X17" s="33">
        <v>23331</v>
      </c>
      <c r="Y17" s="23"/>
      <c r="Z17" s="33">
        <v>38217</v>
      </c>
      <c r="AA17" s="23"/>
      <c r="AB17" s="33">
        <v>40142</v>
      </c>
      <c r="AC17" s="23"/>
      <c r="AD17" s="33">
        <v>34114</v>
      </c>
      <c r="AE17" s="23"/>
      <c r="AF17" s="33">
        <v>34695</v>
      </c>
      <c r="AG17" s="23"/>
      <c r="AH17" s="32">
        <v>7755</v>
      </c>
      <c r="AI17" s="23"/>
      <c r="AJ17" s="32">
        <v>7755</v>
      </c>
      <c r="AK17" s="23"/>
      <c r="AL17" s="32">
        <v>6808</v>
      </c>
      <c r="AM17" s="23"/>
    </row>
    <row r="18" spans="1:39" s="13" customFormat="1">
      <c r="A18" s="102" t="s">
        <v>103</v>
      </c>
      <c r="B18" s="34">
        <v>885328</v>
      </c>
      <c r="C18" s="24"/>
      <c r="D18" s="34">
        <v>835254</v>
      </c>
      <c r="E18" s="24"/>
      <c r="F18" s="34">
        <v>812579</v>
      </c>
      <c r="G18" s="24"/>
      <c r="H18" s="34">
        <v>912655</v>
      </c>
      <c r="I18" s="24"/>
      <c r="J18" s="34">
        <v>761568</v>
      </c>
      <c r="K18" s="24"/>
      <c r="L18" s="34">
        <f>SUM(L15:L17)</f>
        <v>955559</v>
      </c>
      <c r="M18" s="24"/>
      <c r="N18" s="34">
        <f>SUM(N15:N17)</f>
        <v>928006</v>
      </c>
      <c r="O18" s="24"/>
      <c r="P18" s="34">
        <f>SUM(P15:P17)</f>
        <v>1066544</v>
      </c>
      <c r="Q18" s="24"/>
      <c r="R18" s="34">
        <f>SUM(R15:R17)</f>
        <v>1111000</v>
      </c>
      <c r="S18" s="24"/>
      <c r="T18" s="34">
        <f>SUM(T15:T17)</f>
        <v>1664550</v>
      </c>
      <c r="U18" s="24"/>
      <c r="V18" s="34">
        <f>SUM(V15:V17)</f>
        <v>1107829</v>
      </c>
      <c r="W18" s="24"/>
      <c r="X18" s="34">
        <f>SUM(X15:X17)</f>
        <v>1144103</v>
      </c>
      <c r="Y18" s="24"/>
      <c r="Z18" s="34">
        <f>SUM(Z15:Z17)</f>
        <v>933769</v>
      </c>
      <c r="AA18" s="24"/>
      <c r="AB18" s="34">
        <f>SUM(AB15:AB17)</f>
        <v>1691453</v>
      </c>
      <c r="AC18" s="24"/>
      <c r="AD18" s="34">
        <f>SUM(AD15:AD17)</f>
        <v>1198614</v>
      </c>
      <c r="AE18" s="24"/>
      <c r="AF18" s="46">
        <f>SUM(AF15:AF17)</f>
        <v>1346058</v>
      </c>
      <c r="AG18" s="24"/>
      <c r="AH18" s="34">
        <f>SUM(AH15:AH17)</f>
        <v>1259391</v>
      </c>
      <c r="AI18" s="24"/>
      <c r="AJ18" s="34">
        <f>SUM(AJ15:AJ17)</f>
        <v>1794094</v>
      </c>
      <c r="AK18" s="24"/>
      <c r="AL18" s="34">
        <f>SUM(AL15:AL17)</f>
        <v>1517274</v>
      </c>
      <c r="AM18" s="24"/>
    </row>
    <row r="19" spans="1:39">
      <c r="A19" s="53"/>
      <c r="B19" s="35"/>
      <c r="C19" s="23"/>
      <c r="D19" s="35"/>
      <c r="E19" s="23"/>
      <c r="F19" s="35"/>
      <c r="G19" s="23"/>
      <c r="H19" s="35"/>
      <c r="I19" s="23"/>
      <c r="J19" s="35"/>
      <c r="K19" s="23"/>
      <c r="L19" s="35"/>
      <c r="M19" s="23"/>
      <c r="N19" s="35"/>
      <c r="O19" s="23"/>
      <c r="P19" s="35"/>
      <c r="Q19" s="23"/>
      <c r="R19" s="35"/>
      <c r="S19" s="23"/>
      <c r="T19" s="35"/>
      <c r="U19" s="23"/>
      <c r="V19" s="35"/>
      <c r="W19" s="23"/>
      <c r="X19" s="35"/>
      <c r="Y19" s="23"/>
      <c r="Z19" s="35"/>
      <c r="AA19" s="23"/>
      <c r="AB19" s="35"/>
      <c r="AC19" s="23"/>
      <c r="AD19" s="35"/>
      <c r="AE19" s="23"/>
      <c r="AF19" s="35"/>
      <c r="AG19" s="23"/>
      <c r="AH19" s="30"/>
      <c r="AI19" s="23"/>
      <c r="AJ19" s="30"/>
      <c r="AK19" s="23"/>
      <c r="AL19" s="30"/>
      <c r="AM19" s="23"/>
    </row>
    <row r="20" spans="1:39" s="13" customFormat="1">
      <c r="A20" s="102" t="s">
        <v>104</v>
      </c>
      <c r="B20" s="36">
        <v>4307317</v>
      </c>
      <c r="C20" s="24"/>
      <c r="D20" s="36">
        <v>4395439</v>
      </c>
      <c r="E20" s="24"/>
      <c r="F20" s="36">
        <v>4547581</v>
      </c>
      <c r="G20" s="24"/>
      <c r="H20" s="36">
        <v>4633555</v>
      </c>
      <c r="I20" s="24"/>
      <c r="J20" s="36">
        <v>4757152</v>
      </c>
      <c r="K20" s="24"/>
      <c r="L20" s="36">
        <v>5444075</v>
      </c>
      <c r="M20" s="24"/>
      <c r="N20" s="36">
        <v>5793086</v>
      </c>
      <c r="O20" s="24"/>
      <c r="P20" s="36">
        <v>5774021</v>
      </c>
      <c r="Q20" s="24"/>
      <c r="R20" s="36">
        <v>5701946</v>
      </c>
      <c r="S20" s="24"/>
      <c r="T20" s="36">
        <v>5549252</v>
      </c>
      <c r="U20" s="24"/>
      <c r="V20" s="36">
        <v>6195362</v>
      </c>
      <c r="W20" s="24"/>
      <c r="X20" s="36">
        <v>6094675</v>
      </c>
      <c r="Y20" s="24"/>
      <c r="Z20" s="36">
        <v>5999616</v>
      </c>
      <c r="AA20" s="24"/>
      <c r="AB20" s="36">
        <v>6032141</v>
      </c>
      <c r="AC20" s="24"/>
      <c r="AD20" s="36">
        <v>5689700</v>
      </c>
      <c r="AE20" s="24"/>
      <c r="AF20" s="36">
        <v>5712517</v>
      </c>
      <c r="AG20" s="24"/>
      <c r="AH20" s="42">
        <v>5606958</v>
      </c>
      <c r="AI20" s="24"/>
      <c r="AJ20" s="42">
        <v>5412912</v>
      </c>
      <c r="AK20" s="24"/>
      <c r="AL20" s="42">
        <v>5722167</v>
      </c>
      <c r="AM20" s="24"/>
    </row>
    <row r="21" spans="1:39">
      <c r="A21" s="53"/>
      <c r="B21" s="35"/>
      <c r="C21" s="23"/>
      <c r="D21" s="35"/>
      <c r="E21" s="23"/>
      <c r="F21" s="35"/>
      <c r="G21" s="23"/>
      <c r="H21" s="35"/>
      <c r="I21" s="23"/>
      <c r="J21" s="35"/>
      <c r="K21" s="23"/>
      <c r="L21" s="35"/>
      <c r="M21" s="23"/>
      <c r="N21" s="35"/>
      <c r="O21" s="23"/>
      <c r="P21" s="35"/>
      <c r="Q21" s="23"/>
      <c r="R21" s="35"/>
      <c r="S21" s="23"/>
      <c r="T21" s="35"/>
      <c r="U21" s="23"/>
      <c r="V21" s="35"/>
      <c r="W21" s="23"/>
      <c r="X21" s="35"/>
      <c r="Y21" s="23"/>
      <c r="Z21" s="35"/>
      <c r="AA21" s="23"/>
      <c r="AB21" s="35"/>
      <c r="AC21" s="23"/>
      <c r="AD21" s="35"/>
      <c r="AE21" s="23"/>
      <c r="AF21" s="35"/>
      <c r="AG21" s="23"/>
      <c r="AH21" s="30"/>
      <c r="AI21" s="23"/>
      <c r="AJ21" s="30"/>
      <c r="AK21" s="23"/>
      <c r="AL21" s="30"/>
      <c r="AM21" s="23"/>
    </row>
    <row r="22" spans="1:39">
      <c r="A22" s="102" t="s">
        <v>105</v>
      </c>
      <c r="B22" s="37"/>
      <c r="D22" s="37"/>
      <c r="F22" s="37"/>
      <c r="H22" s="37"/>
      <c r="J22" s="37"/>
      <c r="L22" s="37"/>
      <c r="N22" s="37"/>
      <c r="P22" s="37"/>
      <c r="R22" s="37"/>
      <c r="T22" s="37"/>
      <c r="V22" s="37"/>
      <c r="X22" s="37"/>
      <c r="Z22" s="37"/>
      <c r="AB22" s="37"/>
      <c r="AD22" s="37"/>
      <c r="AF22" s="37"/>
      <c r="AH22" s="43"/>
      <c r="AJ22" s="43"/>
      <c r="AL22" s="43"/>
    </row>
    <row r="23" spans="1:39">
      <c r="A23" s="20" t="s">
        <v>106</v>
      </c>
      <c r="B23" s="38">
        <v>34.123738984230059</v>
      </c>
      <c r="D23" s="38">
        <v>37.60320379551149</v>
      </c>
      <c r="F23" s="38">
        <v>27.298454975883061</v>
      </c>
      <c r="H23" s="38">
        <v>25.821646737934394</v>
      </c>
      <c r="J23" s="38">
        <v>30.491550523340369</v>
      </c>
      <c r="L23" s="38">
        <f>L31</f>
        <v>22.590349058824422</v>
      </c>
      <c r="N23" s="38">
        <f>N31</f>
        <v>16.616898746002263</v>
      </c>
      <c r="P23" s="38">
        <f>P31</f>
        <v>18.299764344580591</v>
      </c>
      <c r="R23" s="38">
        <f>R31</f>
        <v>15.731708016019143</v>
      </c>
      <c r="T23" s="38">
        <f>T31</f>
        <v>19.131978385076067</v>
      </c>
      <c r="V23" s="38">
        <f>V31</f>
        <v>33.616932754528307</v>
      </c>
      <c r="X23" s="38" t="e">
        <f>X31</f>
        <v>#REF!</v>
      </c>
      <c r="Y23" s="38"/>
      <c r="Z23" s="38">
        <f t="shared" ref="Z23:AL23" si="0">Z31</f>
        <v>37.175505593143335</v>
      </c>
      <c r="AA23" s="38"/>
      <c r="AB23" s="38">
        <f t="shared" si="0"/>
        <v>34.582520836321414</v>
      </c>
      <c r="AC23" s="38"/>
      <c r="AD23" s="38">
        <f t="shared" si="0"/>
        <v>50.586099856114103</v>
      </c>
      <c r="AE23" s="68"/>
      <c r="AF23" s="68">
        <f t="shared" si="0"/>
        <v>49.209240890645518</v>
      </c>
      <c r="AG23" s="38"/>
      <c r="AH23" s="38">
        <f t="shared" si="0"/>
        <v>41.125500228325073</v>
      </c>
      <c r="AI23" s="38"/>
      <c r="AJ23" s="38">
        <f t="shared" si="0"/>
        <v>38.54564717690721</v>
      </c>
      <c r="AK23" s="38"/>
      <c r="AL23" s="38">
        <f t="shared" si="0"/>
        <v>39.067829513110084</v>
      </c>
      <c r="AM23" s="48"/>
    </row>
    <row r="24" spans="1:39">
      <c r="A24" s="20" t="s">
        <v>107</v>
      </c>
      <c r="B24" s="38">
        <v>164.01775427993351</v>
      </c>
      <c r="D24" s="38">
        <v>122.65980674591394</v>
      </c>
      <c r="F24" s="38">
        <v>96.887554844114149</v>
      </c>
      <c r="H24" s="38">
        <v>82.835226408947776</v>
      </c>
      <c r="J24" s="38">
        <v>93.786179173047472</v>
      </c>
      <c r="L24" s="38">
        <f>L38</f>
        <v>111.2589239889617</v>
      </c>
      <c r="N24" s="38">
        <f>N38</f>
        <v>84.733007602482587</v>
      </c>
      <c r="P24" s="38">
        <f>P38</f>
        <v>68.516941168921704</v>
      </c>
      <c r="R24" s="38">
        <f>R38</f>
        <v>61.672830055352733</v>
      </c>
      <c r="T24" s="38">
        <f>T38</f>
        <v>83.084539576127355</v>
      </c>
      <c r="V24" s="38">
        <f>V38</f>
        <v>65.805287105629304</v>
      </c>
      <c r="X24" s="38" t="e">
        <f>X38</f>
        <v>#REF!</v>
      </c>
      <c r="Y24" s="38"/>
      <c r="Z24" s="38">
        <f t="shared" ref="Z24:AF24" si="1">Z38</f>
        <v>75.171943356940005</v>
      </c>
      <c r="AA24" s="38"/>
      <c r="AB24" s="38">
        <f t="shared" si="1"/>
        <v>91.654103797751162</v>
      </c>
      <c r="AC24" s="38"/>
      <c r="AD24" s="38">
        <f t="shared" si="1"/>
        <v>95.023961070395018</v>
      </c>
      <c r="AE24" s="68"/>
      <c r="AF24" s="68">
        <f t="shared" si="1"/>
        <v>61.838155750361565</v>
      </c>
      <c r="AH24" s="38">
        <f>AH37</f>
        <v>51.80943019477013</v>
      </c>
      <c r="AI24" s="48"/>
      <c r="AJ24" s="38">
        <f>AJ37</f>
        <v>45.484175414189963</v>
      </c>
      <c r="AK24" s="48"/>
      <c r="AL24" s="38">
        <v>34.382757275674379</v>
      </c>
      <c r="AM24" s="48"/>
    </row>
    <row r="25" spans="1:39">
      <c r="A25" s="20" t="s">
        <v>108</v>
      </c>
      <c r="B25" s="39">
        <v>4.4741200140619117</v>
      </c>
      <c r="D25" s="39">
        <v>4.8773874414173024</v>
      </c>
      <c r="F25" s="39">
        <v>5.3044376548451764</v>
      </c>
      <c r="H25" s="39">
        <v>4.9215298259812945</v>
      </c>
      <c r="J25" s="39">
        <v>5.9179285795382448</v>
      </c>
      <c r="L25" s="39">
        <f>(L4+L5+L6+L7)/(L15+L16)</f>
        <v>5.3506981728437824</v>
      </c>
      <c r="N25" s="39">
        <f>(N4+N5+N6+N7)/(N15+N16)</f>
        <v>5.8826868082935411</v>
      </c>
      <c r="P25" s="39">
        <f>(P4+P5+P6+P7)/(P15+P16)</f>
        <v>5.2142611779153762</v>
      </c>
      <c r="R25" s="39">
        <f>(R4+R5+R6+R7)/(R15+R16)</f>
        <v>5.0691410311495018</v>
      </c>
      <c r="T25" s="39">
        <f>(T4+T5+T6+T7)/(T15+T16)</f>
        <v>3.544053088496641</v>
      </c>
      <c r="V25" s="39">
        <f>(V4+V5+V6+V7)/(V15+V16)</f>
        <v>5.3427667988471148</v>
      </c>
      <c r="X25" s="39">
        <f>X40</f>
        <v>5.1804729240202292</v>
      </c>
      <c r="Z25" s="39">
        <f>(Z4+Z5+Z6+Z7)/(Z15+Z16)</f>
        <v>6.0825881690845423</v>
      </c>
      <c r="AB25" s="39">
        <f>(AB4+AB5+AB6+AB7)/(AB15+AB16)</f>
        <v>3.754608308186647</v>
      </c>
      <c r="AD25" s="39">
        <f>(AD4+AD5+AD6+AD7)/(AD15+AD16)</f>
        <v>4.5951395448690429</v>
      </c>
      <c r="AF25" s="47">
        <v>3.6539661405728237</v>
      </c>
      <c r="AH25" s="39">
        <f>(AH4+AH5+AH6+AH7)/(AH15+AH16)</f>
        <v>4.0379766961001442</v>
      </c>
      <c r="AI25" s="49"/>
      <c r="AJ25" s="39">
        <f>(AJ4+AJ5+AJ6+AJ7)/(AJ15+AJ16)</f>
        <v>3.0304275952100919</v>
      </c>
      <c r="AK25" s="49"/>
      <c r="AL25" s="39">
        <v>3.583401413868303</v>
      </c>
      <c r="AM25" s="49"/>
    </row>
    <row r="26" spans="1:39" hidden="1">
      <c r="A26" s="20" t="s">
        <v>2</v>
      </c>
      <c r="B26" s="40">
        <v>790877</v>
      </c>
      <c r="D26" s="40">
        <v>796637</v>
      </c>
      <c r="F26" s="40">
        <v>981736</v>
      </c>
      <c r="H26" s="40">
        <v>1110908</v>
      </c>
      <c r="J26" s="40">
        <v>952310</v>
      </c>
      <c r="L26" s="40">
        <v>658485</v>
      </c>
      <c r="N26" s="40">
        <v>909890</v>
      </c>
      <c r="P26" s="40">
        <v>1126645</v>
      </c>
      <c r="R26" s="40">
        <v>1395830</v>
      </c>
      <c r="T26" s="40">
        <v>1016890</v>
      </c>
      <c r="V26" s="40">
        <v>1108030</v>
      </c>
      <c r="X26" s="40" t="e">
        <f>#REF!</f>
        <v>#REF!</v>
      </c>
      <c r="Z26" s="40">
        <v>1058707</v>
      </c>
      <c r="AB26" s="40">
        <v>955183</v>
      </c>
      <c r="AD26" s="40">
        <v>861099</v>
      </c>
      <c r="AF26" s="40">
        <v>1184085</v>
      </c>
      <c r="AH26" s="44">
        <v>1221942</v>
      </c>
      <c r="AI26" s="28"/>
      <c r="AJ26" s="44">
        <v>1291208</v>
      </c>
      <c r="AK26" s="28"/>
      <c r="AL26" s="44">
        <v>1425353</v>
      </c>
      <c r="AM26" s="28"/>
    </row>
    <row r="27" spans="1:39" hidden="1">
      <c r="A27" s="21" t="s">
        <v>4</v>
      </c>
      <c r="B27" s="40">
        <v>210666</v>
      </c>
      <c r="D27" s="40">
        <v>201292</v>
      </c>
      <c r="F27" s="40">
        <v>221960</v>
      </c>
      <c r="H27" s="40">
        <v>265059</v>
      </c>
      <c r="J27" s="40">
        <v>227414</v>
      </c>
      <c r="L27" s="40">
        <v>158088</v>
      </c>
      <c r="N27" s="40">
        <v>174977</v>
      </c>
      <c r="P27" s="40">
        <v>167238</v>
      </c>
      <c r="R27" s="40">
        <f>287475</f>
        <v>287475</v>
      </c>
      <c r="T27" s="40">
        <f>193296+3688</f>
        <v>196984</v>
      </c>
      <c r="V27" s="40">
        <v>238069</v>
      </c>
      <c r="X27" s="40">
        <v>596288</v>
      </c>
      <c r="Z27" s="40">
        <v>501178</v>
      </c>
      <c r="AB27" s="40">
        <v>361040</v>
      </c>
      <c r="AD27" s="40">
        <v>364952</v>
      </c>
      <c r="AF27" s="40">
        <v>603040</v>
      </c>
      <c r="AH27" s="44">
        <v>663654</v>
      </c>
      <c r="AI27" s="28"/>
      <c r="AJ27" s="44">
        <v>428802</v>
      </c>
      <c r="AK27" s="28"/>
      <c r="AL27" s="44">
        <f>AL5</f>
        <v>665054</v>
      </c>
      <c r="AM27" s="28"/>
    </row>
    <row r="28" spans="1:39" hidden="1">
      <c r="A28" s="21" t="s">
        <v>26</v>
      </c>
      <c r="B28" s="40">
        <v>196525</v>
      </c>
      <c r="D28" s="40">
        <v>187092</v>
      </c>
      <c r="F28" s="40">
        <v>218925</v>
      </c>
      <c r="H28" s="40">
        <v>262039</v>
      </c>
      <c r="J28" s="40">
        <v>224347</v>
      </c>
      <c r="L28" s="40">
        <v>155076</v>
      </c>
      <c r="N28" s="40">
        <v>171856</v>
      </c>
      <c r="P28" s="40">
        <v>164134</v>
      </c>
      <c r="R28" s="40">
        <v>284069</v>
      </c>
      <c r="T28" s="40">
        <v>193296</v>
      </c>
      <c r="V28" s="40">
        <v>234289</v>
      </c>
      <c r="X28" s="40">
        <v>593457</v>
      </c>
      <c r="Z28" s="40">
        <v>494568</v>
      </c>
      <c r="AB28" s="40">
        <v>361040</v>
      </c>
      <c r="AD28" s="40">
        <v>364952</v>
      </c>
      <c r="AF28" s="40">
        <v>603040</v>
      </c>
      <c r="AH28" s="44">
        <v>663654</v>
      </c>
      <c r="AI28" s="28"/>
      <c r="AJ28" s="44">
        <v>428802</v>
      </c>
      <c r="AK28" s="28"/>
      <c r="AL28" s="44">
        <v>665054</v>
      </c>
      <c r="AM28" s="28"/>
    </row>
    <row r="29" spans="1:39" hidden="1">
      <c r="A29" s="20" t="s">
        <v>5</v>
      </c>
      <c r="B29" s="40">
        <f>31+31+30</f>
        <v>92</v>
      </c>
      <c r="D29" s="40">
        <f>30+31+30</f>
        <v>91</v>
      </c>
      <c r="F29" s="40">
        <f>31+29+31</f>
        <v>91</v>
      </c>
      <c r="H29" s="40">
        <f>31+31+30</f>
        <v>92</v>
      </c>
      <c r="J29" s="40">
        <f>31+31+30</f>
        <v>92</v>
      </c>
      <c r="L29" s="40">
        <f>30+31+30</f>
        <v>91</v>
      </c>
      <c r="N29" s="40">
        <f>31+28+31</f>
        <v>90</v>
      </c>
      <c r="P29" s="40">
        <f>31+31+30</f>
        <v>92</v>
      </c>
      <c r="R29" s="40">
        <f>31+31+30</f>
        <v>92</v>
      </c>
      <c r="T29" s="40">
        <f>30+31+30</f>
        <v>91</v>
      </c>
      <c r="V29" s="40">
        <f>31+28+31</f>
        <v>90</v>
      </c>
      <c r="X29" s="40">
        <v>92</v>
      </c>
      <c r="Y29" s="40"/>
      <c r="Z29" s="40">
        <v>92</v>
      </c>
      <c r="AB29" s="40">
        <v>91</v>
      </c>
      <c r="AD29" s="40">
        <f>31+28+31</f>
        <v>90</v>
      </c>
      <c r="AF29" s="40">
        <v>92</v>
      </c>
      <c r="AH29" s="40">
        <v>92</v>
      </c>
      <c r="AI29" s="28"/>
      <c r="AJ29" s="44">
        <v>91</v>
      </c>
      <c r="AK29" s="28"/>
      <c r="AL29" s="44">
        <f>31+29+31</f>
        <v>91</v>
      </c>
      <c r="AM29" s="28"/>
    </row>
    <row r="30" spans="1:39" hidden="1">
      <c r="A30" s="20" t="s">
        <v>27</v>
      </c>
      <c r="B30" s="40">
        <f>B29/(B26/((B27+D27)/2))</f>
        <v>23.960828295676823</v>
      </c>
      <c r="D30" s="40">
        <f>D29/(D26/((D27+F27)/2))</f>
        <v>24.174079285797671</v>
      </c>
      <c r="F30" s="40">
        <f>F29/(F26/((F27+H27)/2))</f>
        <v>22.571612429410759</v>
      </c>
      <c r="H30" s="40">
        <f>H29/(H26/((H27+J27)/2))</f>
        <v>20.392109877685641</v>
      </c>
      <c r="J30" s="40">
        <f>J29/(J26/((J27+L27)/2))</f>
        <v>18.621133874473649</v>
      </c>
      <c r="L30" s="40">
        <f>L29/(L26/((L27+N27)/2))</f>
        <v>23.014127125143322</v>
      </c>
      <c r="N30" s="40">
        <f>N29/(N26/((N27+P27)/2))</f>
        <v>16.924765631010342</v>
      </c>
      <c r="P30" s="40">
        <f>P29/(P26/((P27+R27)/2))</f>
        <v>18.565562355489085</v>
      </c>
      <c r="R30" s="40">
        <f>R29/(R26/((R27+T27)/2))</f>
        <v>15.965492932520435</v>
      </c>
      <c r="T30" s="40">
        <f>T29/(T26/((T27+V27)/2))</f>
        <v>19.466128588146209</v>
      </c>
      <c r="V30" s="40">
        <f>V29/(V26/((V27+X27)/2))</f>
        <v>33.885422777361626</v>
      </c>
      <c r="X30" s="40" t="e">
        <f>$X$29/($X$26/((X27+Z27)/2))</f>
        <v>#REF!</v>
      </c>
      <c r="Z30" s="40">
        <f>Z29/(Z26/((Z27+AB27)/2))</f>
        <v>37.462704978809057</v>
      </c>
      <c r="AB30" s="40">
        <f>AB29/(AB26/((AB27+AD27)/2))</f>
        <v>34.582520836321414</v>
      </c>
      <c r="AD30" s="40">
        <f>AD29/(AD26/((AD27+AF27)/2))</f>
        <v>50.586099856114103</v>
      </c>
      <c r="AF30" s="40">
        <f>AF29/(AF26/((AF27+AH27)/2))</f>
        <v>49.209240890645518</v>
      </c>
      <c r="AH30" s="40">
        <f>AH29/(AH26/((AH27+AJ27)/2))</f>
        <v>41.125500228325073</v>
      </c>
      <c r="AI30" s="28"/>
      <c r="AJ30" s="44">
        <v>38.54564717690721</v>
      </c>
      <c r="AK30" s="28"/>
      <c r="AL30" s="44">
        <f>AL29/(AL26/((AL27+558802)/2))</f>
        <v>39.067829513110084</v>
      </c>
      <c r="AM30" s="28"/>
    </row>
    <row r="31" spans="1:39" hidden="1">
      <c r="A31" s="20" t="s">
        <v>28</v>
      </c>
      <c r="B31" s="40">
        <f>B29/(B26/((B28+D28)/2))</f>
        <v>22.312422791407514</v>
      </c>
      <c r="D31" s="40">
        <f>D29/(D26/((D28+F28)/2))</f>
        <v>23.189700578808164</v>
      </c>
      <c r="F31" s="40">
        <f>F29/(F26/((F28+H28)/2))</f>
        <v>22.290984541669044</v>
      </c>
      <c r="H31" s="40">
        <f>H29/(H26/((H28+J28)/2))</f>
        <v>20.140062003334211</v>
      </c>
      <c r="J31" s="40">
        <f>J29/(J26/((J28+L28)/2))</f>
        <v>18.327496298474237</v>
      </c>
      <c r="L31" s="40">
        <f>L29/(L26/((L28+N28)/2))</f>
        <v>22.590349058824422</v>
      </c>
      <c r="N31" s="40">
        <f>N29/(N26/((N28+P28)/2))</f>
        <v>16.616898746002263</v>
      </c>
      <c r="P31" s="40">
        <f>P29/(P26/((P28+R28)/2))</f>
        <v>18.299764344580591</v>
      </c>
      <c r="R31" s="40">
        <f>R29/(R26/((R28+T28)/2))</f>
        <v>15.731708016019143</v>
      </c>
      <c r="T31" s="40">
        <f>T29/(T26/((T28+V28)/2))</f>
        <v>19.131978385076067</v>
      </c>
      <c r="V31" s="40">
        <f>V29/(V26/((V28+X28)/2))</f>
        <v>33.616932754528307</v>
      </c>
      <c r="X31" s="40" t="e">
        <f>X29/(X26/((X28+Z28)/2))</f>
        <v>#REF!</v>
      </c>
      <c r="Y31" s="40"/>
      <c r="Z31" s="40">
        <f>Z29/(Z26/((Z28+AB28)/2))</f>
        <v>37.175505593143335</v>
      </c>
      <c r="AA31" s="40"/>
      <c r="AB31" s="40">
        <f>AB29/(AB26/((AB28+AD28)/2))</f>
        <v>34.582520836321414</v>
      </c>
      <c r="AC31" s="40"/>
      <c r="AD31" s="40">
        <f>AD29/(AD26/((AD28+AF28)/2))</f>
        <v>50.586099856114103</v>
      </c>
      <c r="AE31" s="40"/>
      <c r="AF31" s="40">
        <f>AF29/(AF26/((AF28+AH28)/2))</f>
        <v>49.209240890645518</v>
      </c>
      <c r="AG31" s="40"/>
      <c r="AH31" s="40">
        <f>AH29/(AH26/((AH28+AJ28)/2))</f>
        <v>41.125500228325073</v>
      </c>
      <c r="AI31" s="40"/>
      <c r="AJ31" s="40">
        <f>AJ29/(AJ26/((AJ28+AL28)/2))</f>
        <v>38.54564717690721</v>
      </c>
      <c r="AK31" s="40"/>
      <c r="AL31" s="40">
        <f>AL29/(AL26/((AL28+558802)/2))</f>
        <v>39.067829513110084</v>
      </c>
      <c r="AM31" s="28"/>
    </row>
    <row r="32" spans="1:39" hidden="1">
      <c r="B32" s="40"/>
      <c r="D32" s="40"/>
      <c r="F32" s="40"/>
      <c r="H32" s="40"/>
      <c r="J32" s="40"/>
      <c r="L32" s="40"/>
      <c r="N32" s="40"/>
      <c r="P32" s="40"/>
      <c r="R32" s="40"/>
      <c r="T32" s="40"/>
      <c r="V32" s="40"/>
      <c r="X32" s="40"/>
      <c r="Z32" s="40"/>
      <c r="AB32" s="40"/>
      <c r="AD32" s="40"/>
      <c r="AF32" s="40"/>
      <c r="AH32" s="44"/>
      <c r="AI32" s="28"/>
      <c r="AJ32" s="44"/>
      <c r="AK32" s="28"/>
      <c r="AL32" s="44"/>
      <c r="AM32" s="28"/>
    </row>
    <row r="33" spans="1:39" hidden="1">
      <c r="A33" s="20" t="s">
        <v>0</v>
      </c>
      <c r="B33" s="40">
        <v>506611</v>
      </c>
      <c r="D33" s="40">
        <v>500846</v>
      </c>
      <c r="F33" s="40">
        <v>613240</v>
      </c>
      <c r="H33" s="40">
        <v>646306</v>
      </c>
      <c r="J33" s="40">
        <v>547225</v>
      </c>
      <c r="L33" s="40">
        <v>403323</v>
      </c>
      <c r="N33" s="40">
        <v>530090</v>
      </c>
      <c r="P33" s="40">
        <v>685726</v>
      </c>
      <c r="R33" s="40">
        <v>798154</v>
      </c>
      <c r="T33" s="40">
        <v>542663</v>
      </c>
      <c r="V33" s="40">
        <v>558453</v>
      </c>
      <c r="X33" s="40" t="e">
        <f>-#REF!</f>
        <v>#REF!</v>
      </c>
      <c r="Z33" s="40">
        <v>617622</v>
      </c>
      <c r="AB33" s="40">
        <v>519202</v>
      </c>
      <c r="AD33" s="40">
        <v>473059</v>
      </c>
      <c r="AF33" s="40">
        <v>654098</v>
      </c>
      <c r="AH33" s="44">
        <v>648046</v>
      </c>
      <c r="AI33" s="28"/>
      <c r="AJ33" s="44">
        <v>664188</v>
      </c>
      <c r="AK33" s="28"/>
      <c r="AL33" s="44">
        <v>733231</v>
      </c>
      <c r="AM33" s="28"/>
    </row>
    <row r="34" spans="1:39" hidden="1">
      <c r="A34" s="21" t="s">
        <v>1</v>
      </c>
      <c r="B34" s="40">
        <v>691653</v>
      </c>
      <c r="D34" s="40">
        <v>691264</v>
      </c>
      <c r="F34" s="40">
        <v>692528</v>
      </c>
      <c r="H34" s="40">
        <v>532962</v>
      </c>
      <c r="J34" s="40">
        <f>362042+124978</f>
        <v>487020</v>
      </c>
      <c r="L34" s="40">
        <v>645596</v>
      </c>
      <c r="N34" s="40">
        <v>609515</v>
      </c>
      <c r="P34" s="40">
        <v>643190</v>
      </c>
      <c r="R34" s="40">
        <f>509343+126536</f>
        <v>635879</v>
      </c>
      <c r="T34" s="40">
        <f>560753+103259</f>
        <v>664012</v>
      </c>
      <c r="V34" s="40">
        <v>526690</v>
      </c>
      <c r="X34" s="40">
        <v>475640</v>
      </c>
      <c r="Z34" s="40">
        <v>586410</v>
      </c>
      <c r="AB34" s="40">
        <v>658531</v>
      </c>
      <c r="AD34" s="40">
        <v>572942</v>
      </c>
      <c r="AF34" s="40">
        <v>576040</v>
      </c>
      <c r="AH34" s="44">
        <v>401095</v>
      </c>
      <c r="AI34" s="28"/>
      <c r="AJ34" s="44">
        <v>328794</v>
      </c>
      <c r="AK34" s="28"/>
      <c r="AL34" s="44">
        <v>335163</v>
      </c>
      <c r="AM34" s="28"/>
    </row>
    <row r="35" spans="1:39" hidden="1">
      <c r="A35" s="21" t="s">
        <v>31</v>
      </c>
      <c r="B35" s="40">
        <v>597177</v>
      </c>
      <c r="D35" s="40">
        <v>600965</v>
      </c>
      <c r="F35" s="40">
        <v>611199</v>
      </c>
      <c r="H35" s="40">
        <v>448137</v>
      </c>
      <c r="J35" s="40">
        <v>362042</v>
      </c>
      <c r="L35" s="40">
        <v>500135</v>
      </c>
      <c r="N35" s="40">
        <v>486091</v>
      </c>
      <c r="P35" s="40">
        <v>512045</v>
      </c>
      <c r="R35" s="40">
        <f>509343</f>
        <v>509343</v>
      </c>
      <c r="T35" s="40">
        <v>560753</v>
      </c>
      <c r="V35" s="40">
        <f>V6</f>
        <v>430168</v>
      </c>
      <c r="X35" s="40">
        <f>X6</f>
        <v>386480</v>
      </c>
      <c r="Y35" s="40">
        <f t="shared" ref="Y35:AJ35" si="2">Y6</f>
        <v>0</v>
      </c>
      <c r="Z35" s="40">
        <f t="shared" si="2"/>
        <v>458841</v>
      </c>
      <c r="AA35" s="40"/>
      <c r="AB35" s="40">
        <f t="shared" si="2"/>
        <v>550460</v>
      </c>
      <c r="AC35" s="40"/>
      <c r="AD35" s="40">
        <f t="shared" si="2"/>
        <v>495408</v>
      </c>
      <c r="AE35" s="40"/>
      <c r="AF35" s="40">
        <f t="shared" si="2"/>
        <v>503524</v>
      </c>
      <c r="AG35" s="40">
        <f t="shared" si="2"/>
        <v>0</v>
      </c>
      <c r="AH35" s="40">
        <f t="shared" si="2"/>
        <v>375785</v>
      </c>
      <c r="AI35" s="40"/>
      <c r="AJ35" s="40">
        <f t="shared" si="2"/>
        <v>311444</v>
      </c>
      <c r="AK35" s="28"/>
      <c r="AL35" s="44"/>
      <c r="AM35" s="28"/>
    </row>
    <row r="36" spans="1:39" hidden="1">
      <c r="A36" s="20" t="s">
        <v>5</v>
      </c>
      <c r="B36" s="40">
        <f>B29</f>
        <v>92</v>
      </c>
      <c r="D36" s="40">
        <f>D29</f>
        <v>91</v>
      </c>
      <c r="F36" s="40">
        <f>F29</f>
        <v>91</v>
      </c>
      <c r="H36" s="40">
        <f>H29</f>
        <v>92</v>
      </c>
      <c r="J36" s="40">
        <f>J29</f>
        <v>92</v>
      </c>
      <c r="L36" s="40">
        <f>L29</f>
        <v>91</v>
      </c>
      <c r="N36" s="40">
        <f>N29</f>
        <v>90</v>
      </c>
      <c r="P36" s="40">
        <f>P29</f>
        <v>92</v>
      </c>
      <c r="R36" s="40">
        <f>R29</f>
        <v>92</v>
      </c>
      <c r="T36" s="40">
        <f>T29</f>
        <v>91</v>
      </c>
      <c r="V36" s="40">
        <v>90</v>
      </c>
      <c r="X36" s="40">
        <f>X29</f>
        <v>92</v>
      </c>
      <c r="Y36" s="40"/>
      <c r="Z36" s="40">
        <v>92</v>
      </c>
      <c r="AB36" s="40">
        <v>91</v>
      </c>
      <c r="AD36" s="40">
        <v>90</v>
      </c>
      <c r="AF36" s="40">
        <v>92</v>
      </c>
      <c r="AH36" s="40">
        <v>92</v>
      </c>
      <c r="AI36" s="28"/>
      <c r="AJ36" s="44">
        <v>91</v>
      </c>
      <c r="AK36" s="28"/>
      <c r="AL36" s="44">
        <f>31+29+31</f>
        <v>91</v>
      </c>
      <c r="AM36" s="28"/>
    </row>
    <row r="37" spans="1:39" hidden="1">
      <c r="A37" s="20" t="s">
        <v>29</v>
      </c>
      <c r="B37" s="40">
        <f>B36/(B33/((B34+D34)/2))</f>
        <v>125.5681025481089</v>
      </c>
      <c r="D37" s="40">
        <f>D36/(D33/((D34+F34)/2))</f>
        <v>125.7123666755849</v>
      </c>
      <c r="F37" s="40">
        <f>F36/(F33/((F34+H34)/2))</f>
        <v>90.92654588741766</v>
      </c>
      <c r="H37" s="40">
        <f>H36/(H33/((H34+J34)/2))</f>
        <v>72.595909677459289</v>
      </c>
      <c r="J37" s="40">
        <f>J36/(J33/((J34+L34)/2))</f>
        <v>95.208252546941381</v>
      </c>
      <c r="L37" s="40">
        <f>L36/(L33/((L34+N34)/2))</f>
        <v>141.59259576071784</v>
      </c>
      <c r="N37" s="40">
        <f>N36/(N33/((N34+P34)/2))</f>
        <v>106.34368692108887</v>
      </c>
      <c r="P37" s="40">
        <f>P36/(P33/((P34+R34)/2))</f>
        <v>85.802746286417602</v>
      </c>
      <c r="R37" s="40">
        <f>R36/(R33/((R34+T34)/2))</f>
        <v>74.916602560408137</v>
      </c>
      <c r="T37" s="40">
        <f>T36/(T33/((T34+V34)/2))</f>
        <v>99.835332425464799</v>
      </c>
      <c r="V37" s="40">
        <f>V36/(V33/((V34+X34)/2))</f>
        <v>80.767495205505199</v>
      </c>
      <c r="X37" s="40" t="e">
        <f>X36/(X33/((X34+Z34)/2))</f>
        <v>#REF!</v>
      </c>
      <c r="Z37" s="40">
        <f>Z36/(Z33/((Z34+AB34)/2))</f>
        <v>92.722224920744409</v>
      </c>
      <c r="AB37" s="40">
        <f>AB36/(AB33/((AB34+AD34)/2))</f>
        <v>107.91950242872716</v>
      </c>
      <c r="AD37" s="40">
        <f>AD36/(AD33/((AD34+AF34)/2))</f>
        <v>109.29755062264961</v>
      </c>
      <c r="AF37" s="40">
        <f>AF36/(AF33/((AF34+AH34)/2))</f>
        <v>68.717852676510248</v>
      </c>
      <c r="AH37" s="40">
        <f>AH36/(AH33/((AH34+AJ34)/2))</f>
        <v>51.80943019477013</v>
      </c>
      <c r="AI37" s="28"/>
      <c r="AJ37" s="44">
        <v>45.484175414189963</v>
      </c>
      <c r="AK37" s="28"/>
      <c r="AL37" s="44" t="e">
        <f>AL36/(AL33/((AL34+#REF!)/2))</f>
        <v>#REF!</v>
      </c>
      <c r="AM37" s="28"/>
    </row>
    <row r="38" spans="1:39" hidden="1">
      <c r="A38" s="20" t="s">
        <v>30</v>
      </c>
      <c r="B38" s="40">
        <f>B36/(B33/AVERAGE(B35,D35))</f>
        <v>108.790634234156</v>
      </c>
      <c r="D38" s="40">
        <f>D36/(D33/AVERAGE(D35,F35))</f>
        <v>110.12059994489324</v>
      </c>
      <c r="F38" s="40">
        <f>F36/(F33/AVERAGE(F35,H35))</f>
        <v>78.5985715217533</v>
      </c>
      <c r="H38" s="40">
        <f>H36/(H33/AVERAGE(H35,J35))</f>
        <v>57.663450439884507</v>
      </c>
      <c r="J38" s="40">
        <f>J36/(J33/AVERAGE(J35,L35))</f>
        <v>72.475018502444158</v>
      </c>
      <c r="L38" s="40">
        <f>L36/(L33/AVERAGE(L35,N35))</f>
        <v>111.2589239889617</v>
      </c>
      <c r="N38" s="40">
        <f>N36/(N33/AVERAGE(N35,P35))</f>
        <v>84.733007602482587</v>
      </c>
      <c r="P38" s="40">
        <f>P36/(P33/AVERAGE(P35,R35))</f>
        <v>68.516941168921704</v>
      </c>
      <c r="R38" s="40">
        <f>R36/(R33/AVERAGE(R35,T35))</f>
        <v>61.672830055352733</v>
      </c>
      <c r="T38" s="40">
        <f>T36/(T33/AVERAGE(T35,V35))</f>
        <v>83.084539576127355</v>
      </c>
      <c r="V38" s="40">
        <f>V36/(V33/AVERAGE(V35,X35))</f>
        <v>65.805287105629304</v>
      </c>
      <c r="X38" s="40" t="e">
        <f>X36/(X33/AVERAGE(X35,Z35))</f>
        <v>#REF!</v>
      </c>
      <c r="Y38" s="40"/>
      <c r="Z38" s="40">
        <f>Z36/(Z33/AVERAGE(Z35,AB35))</f>
        <v>75.171943356940005</v>
      </c>
      <c r="AA38" s="40"/>
      <c r="AB38" s="40">
        <f>AB36/(AB33/AVERAGE(AB35,AD35))</f>
        <v>91.654103797751162</v>
      </c>
      <c r="AC38" s="40"/>
      <c r="AD38" s="40">
        <f>AD36/(AD33/AVERAGE(AD35,AF35))</f>
        <v>95.023961070395018</v>
      </c>
      <c r="AE38" s="40"/>
      <c r="AF38" s="40">
        <f>AF36/(AF33/AVERAGE(AF35,AH35))</f>
        <v>61.838155750361565</v>
      </c>
      <c r="AG38" s="40"/>
      <c r="AH38" s="40">
        <f>AH36/(AH33/AVERAGE(AH35,AJ35))</f>
        <v>48.781311820457184</v>
      </c>
      <c r="AI38" s="40"/>
      <c r="AJ38" s="40">
        <f>AJ36/(AJ33/AVERAGE(AJ35,AL35))</f>
        <v>42.670755870325877</v>
      </c>
      <c r="AK38" s="28"/>
      <c r="AL38" s="44"/>
      <c r="AM38" s="28"/>
    </row>
    <row r="39" spans="1:39" hidden="1">
      <c r="B39" s="40"/>
      <c r="D39" s="40"/>
      <c r="F39" s="40"/>
      <c r="H39" s="40"/>
      <c r="J39" s="40"/>
      <c r="L39" s="40"/>
      <c r="N39" s="40"/>
      <c r="P39" s="40"/>
      <c r="R39" s="40"/>
      <c r="T39" s="40"/>
      <c r="V39" s="40"/>
      <c r="X39" s="40"/>
      <c r="Z39" s="40"/>
      <c r="AB39" s="40"/>
      <c r="AD39" s="40"/>
      <c r="AF39" s="40"/>
      <c r="AH39" s="44"/>
      <c r="AI39" s="28"/>
      <c r="AJ39" s="44"/>
      <c r="AK39" s="28"/>
      <c r="AL39" s="44"/>
      <c r="AM39" s="28"/>
    </row>
    <row r="40" spans="1:39" hidden="1">
      <c r="A40" s="20" t="s">
        <v>6</v>
      </c>
      <c r="B40" s="41">
        <f>B8/(B15+B16)</f>
        <v>4.4741200140619117</v>
      </c>
      <c r="D40" s="41">
        <f>D8/(D15+D16)</f>
        <v>4.8773874414173024</v>
      </c>
      <c r="F40" s="41">
        <f>F8/(F15+F16)</f>
        <v>5.3044376548451764</v>
      </c>
      <c r="H40" s="41">
        <f>H8/(H15+H16)</f>
        <v>4.9215298259812945</v>
      </c>
      <c r="J40" s="41">
        <f>J8/(J15+J16)</f>
        <v>5.9179285795382448</v>
      </c>
      <c r="L40" s="41">
        <f>L8/(L15+L16)</f>
        <v>5.3506981728437824</v>
      </c>
      <c r="N40" s="41">
        <f>N8/(N15+N16)</f>
        <v>5.8826868082935411</v>
      </c>
      <c r="P40" s="41">
        <f>P8/(P15+P16)</f>
        <v>5.2142611779153762</v>
      </c>
      <c r="R40" s="41">
        <f>R8/(R15+R16)</f>
        <v>5.0691410311495018</v>
      </c>
      <c r="T40" s="41">
        <f>T8/(T15+T16)</f>
        <v>3.544053088496641</v>
      </c>
      <c r="V40" s="41">
        <f>V8/(V15+V16)</f>
        <v>5.3427667988471148</v>
      </c>
      <c r="X40" s="41">
        <f>X8/(X15+X16)</f>
        <v>5.1804729240202292</v>
      </c>
      <c r="Z40" s="41">
        <f>5447274/895552</f>
        <v>6.0825881690845423</v>
      </c>
      <c r="AB40" s="41">
        <v>3.754608308186647</v>
      </c>
      <c r="AD40" s="41">
        <v>4.5951395448690429</v>
      </c>
      <c r="AF40" s="41">
        <f>AF8/(AF15+AF16)</f>
        <v>3.6539661405728237</v>
      </c>
      <c r="AH40" s="45">
        <f>5054077/1251636</f>
        <v>4.0379766961001442</v>
      </c>
      <c r="AI40" s="29"/>
      <c r="AJ40" s="45">
        <v>3.0304275952100919</v>
      </c>
      <c r="AK40" s="29"/>
      <c r="AL40" s="45">
        <f>AL8/(AL15+AL16)</f>
        <v>3.583401413868303</v>
      </c>
      <c r="AM40" s="29"/>
    </row>
    <row r="41" spans="1:39" hidden="1"/>
    <row r="42" spans="1:39" hidden="1">
      <c r="B42" s="40"/>
      <c r="D42" s="40"/>
      <c r="F42" s="40"/>
      <c r="H42" s="40"/>
      <c r="J42" s="40"/>
      <c r="L42" s="40"/>
      <c r="N42" s="40"/>
      <c r="P42" s="40"/>
      <c r="R42" s="40"/>
      <c r="T42" s="40"/>
      <c r="V42" s="40"/>
      <c r="X42" s="40"/>
      <c r="Z42" s="40"/>
      <c r="AB42" s="40"/>
      <c r="AD42" s="40"/>
      <c r="AF42" s="40"/>
      <c r="AH42" s="44"/>
      <c r="AI42" s="28"/>
      <c r="AJ42" s="44"/>
      <c r="AK42" s="28"/>
      <c r="AL42" s="44"/>
      <c r="AM42" s="28"/>
    </row>
    <row r="43" spans="1:39" hidden="1">
      <c r="A43" s="20" t="s">
        <v>0</v>
      </c>
      <c r="B43" s="40">
        <f>B33</f>
        <v>506611</v>
      </c>
      <c r="D43" s="40">
        <f>D33</f>
        <v>500846</v>
      </c>
      <c r="F43" s="40">
        <f>F33</f>
        <v>613240</v>
      </c>
      <c r="H43" s="40">
        <f>H33</f>
        <v>646306</v>
      </c>
      <c r="J43" s="40">
        <f>J33</f>
        <v>547225</v>
      </c>
      <c r="L43" s="40">
        <f>L33</f>
        <v>403323</v>
      </c>
      <c r="N43" s="40">
        <f>N33</f>
        <v>530090</v>
      </c>
      <c r="P43" s="40">
        <f>P33</f>
        <v>685726</v>
      </c>
      <c r="R43" s="40">
        <f>R33</f>
        <v>798154</v>
      </c>
      <c r="T43" s="40">
        <f>T33</f>
        <v>542663</v>
      </c>
      <c r="V43" s="40">
        <v>558453</v>
      </c>
      <c r="X43" s="40" t="e">
        <f>X33</f>
        <v>#REF!</v>
      </c>
      <c r="Z43" s="40">
        <v>617622</v>
      </c>
      <c r="AB43" s="40">
        <v>519202</v>
      </c>
      <c r="AD43" s="40">
        <v>473059</v>
      </c>
      <c r="AF43" s="40">
        <v>654098</v>
      </c>
      <c r="AH43" s="44">
        <v>648046</v>
      </c>
      <c r="AI43" s="28"/>
      <c r="AJ43" s="44">
        <v>664188</v>
      </c>
      <c r="AK43" s="28"/>
      <c r="AL43" s="44">
        <f>AL33</f>
        <v>733231</v>
      </c>
      <c r="AM43" s="28"/>
    </row>
    <row r="44" spans="1:39" hidden="1">
      <c r="A44" s="21" t="s">
        <v>3</v>
      </c>
      <c r="B44" s="40">
        <f>B15</f>
        <v>614578</v>
      </c>
      <c r="D44" s="40">
        <f>D15</f>
        <v>407748</v>
      </c>
      <c r="F44" s="40">
        <f>F15</f>
        <v>471692</v>
      </c>
      <c r="H44" s="40">
        <f>H15</f>
        <v>540847</v>
      </c>
      <c r="J44" s="40">
        <f>J15</f>
        <v>474493</v>
      </c>
      <c r="L44" s="40">
        <f>L15</f>
        <v>324307</v>
      </c>
      <c r="N44" s="40">
        <f>N15</f>
        <v>451214</v>
      </c>
      <c r="P44" s="40">
        <f>P15</f>
        <v>511217</v>
      </c>
      <c r="R44" s="40">
        <f>R15</f>
        <v>604935</v>
      </c>
      <c r="T44" s="40">
        <f>T15</f>
        <v>484040</v>
      </c>
      <c r="V44" s="40">
        <v>554009</v>
      </c>
      <c r="X44" s="40">
        <f>X15</f>
        <v>492527</v>
      </c>
      <c r="Z44" s="40">
        <v>456522</v>
      </c>
      <c r="AB44" s="40">
        <v>574761</v>
      </c>
      <c r="AD44" s="40">
        <v>491152</v>
      </c>
      <c r="AF44" s="40">
        <v>643566</v>
      </c>
      <c r="AH44" s="44">
        <v>641041</v>
      </c>
      <c r="AI44" s="28"/>
      <c r="AJ44" s="44">
        <v>667224</v>
      </c>
      <c r="AK44" s="28"/>
      <c r="AL44" s="44">
        <f>AL15</f>
        <v>862357</v>
      </c>
      <c r="AM44" s="28"/>
    </row>
    <row r="45" spans="1:39" hidden="1">
      <c r="A45" s="20" t="s">
        <v>5</v>
      </c>
      <c r="B45" s="40">
        <f>B29</f>
        <v>92</v>
      </c>
      <c r="D45" s="40">
        <f>D29</f>
        <v>91</v>
      </c>
      <c r="F45" s="40">
        <f>F29</f>
        <v>91</v>
      </c>
      <c r="H45" s="40">
        <f>H29</f>
        <v>92</v>
      </c>
      <c r="J45" s="40">
        <f>J29</f>
        <v>92</v>
      </c>
      <c r="L45" s="40">
        <f>L29</f>
        <v>91</v>
      </c>
      <c r="N45" s="40">
        <f>N29</f>
        <v>90</v>
      </c>
      <c r="P45" s="40">
        <f>P29</f>
        <v>92</v>
      </c>
      <c r="R45" s="40">
        <f>R29</f>
        <v>92</v>
      </c>
      <c r="T45" s="40">
        <f>T29</f>
        <v>91</v>
      </c>
      <c r="V45" s="40">
        <v>90</v>
      </c>
      <c r="X45" s="40">
        <f>X29</f>
        <v>92</v>
      </c>
      <c r="Z45" s="40">
        <v>92</v>
      </c>
      <c r="AB45" s="40">
        <v>91</v>
      </c>
      <c r="AD45" s="40">
        <v>90</v>
      </c>
      <c r="AF45" s="40">
        <v>92</v>
      </c>
      <c r="AH45" s="44">
        <v>92</v>
      </c>
      <c r="AI45" s="28"/>
      <c r="AJ45" s="44">
        <v>91</v>
      </c>
      <c r="AK45" s="28"/>
      <c r="AL45" s="44">
        <f>31+29+31</f>
        <v>91</v>
      </c>
      <c r="AM45" s="28"/>
    </row>
    <row r="46" spans="1:39" hidden="1">
      <c r="A46" s="20" t="s">
        <v>7</v>
      </c>
      <c r="B46" s="40">
        <f>B45/(B43/((B44+D44)/2))</f>
        <v>92.826638189853753</v>
      </c>
      <c r="D46" s="40">
        <f>D45/(D43/((D44+F44)/2))</f>
        <v>79.893859589574447</v>
      </c>
      <c r="F46" s="40">
        <f>F45/(F43/((F44+H44)/2))</f>
        <v>75.126417878807644</v>
      </c>
      <c r="H46" s="40">
        <f>H45/(H43/((H44+J44)/2))</f>
        <v>72.265521285582992</v>
      </c>
      <c r="J46" s="40">
        <f>J45/(J43/((J44+L44)/2))</f>
        <v>67.147517017680116</v>
      </c>
      <c r="L46" s="40">
        <f>L45/(L43/((L44+N44)/2))</f>
        <v>87.48870136342336</v>
      </c>
      <c r="N46" s="40">
        <f>N45/(N43/((N44+P44)/2))</f>
        <v>81.701965703937063</v>
      </c>
      <c r="P46" s="40">
        <f>P45/(P43/((P44+R44)/2))</f>
        <v>74.873917570574832</v>
      </c>
      <c r="R46" s="40">
        <f>R45/(R43/((R44+T44)/2))</f>
        <v>62.760883238071848</v>
      </c>
      <c r="T46" s="40">
        <f>T45/(T43/((T44+V44)/2))</f>
        <v>87.036023277798563</v>
      </c>
      <c r="V46" s="40">
        <f>V45/(V43/((V44+X44)/2))</f>
        <v>84.32960338649805</v>
      </c>
      <c r="X46" s="40" t="e">
        <f>X45/(X43/((X44+Z44)/2))</f>
        <v>#REF!</v>
      </c>
      <c r="Z46" s="40">
        <f>Z45/(Z43/((Z44+AB44)/2))</f>
        <v>76.809145399613357</v>
      </c>
      <c r="AB46" s="40">
        <v>93.410737054171591</v>
      </c>
      <c r="AD46" s="40">
        <v>107.94067970380016</v>
      </c>
      <c r="AF46" s="40">
        <v>90.341083446211428</v>
      </c>
      <c r="AH46" s="44">
        <f>AH45/(AH43/((AH44+AJ44)/2))</f>
        <v>92.864071377649111</v>
      </c>
      <c r="AI46" s="28"/>
      <c r="AJ46" s="44">
        <v>104.78348825934826</v>
      </c>
      <c r="AK46" s="28"/>
      <c r="AL46" s="44" t="e">
        <f>AL45/(AL43/((AL44+#REF!)/2))</f>
        <v>#REF!</v>
      </c>
      <c r="AM46" s="28"/>
    </row>
    <row r="47" spans="1:39" hidden="1">
      <c r="B47" s="40"/>
      <c r="D47" s="40"/>
      <c r="F47" s="40"/>
      <c r="H47" s="40"/>
      <c r="J47" s="40"/>
      <c r="L47" s="40"/>
      <c r="N47" s="40"/>
      <c r="P47" s="40"/>
      <c r="R47" s="40"/>
      <c r="T47" s="40"/>
      <c r="V47" s="40"/>
      <c r="X47" s="40"/>
      <c r="Z47" s="40"/>
      <c r="AB47" s="40"/>
      <c r="AD47" s="40"/>
      <c r="AF47" s="40"/>
    </row>
  </sheetData>
  <sheetProtection sheet="1" objects="1" scenarios="1"/>
  <customSheetViews>
    <customSheetView guid="{6CC4FA47-4F74-48A0-8033-8683B05A3BC4}">
      <selection activeCell="E13" sqref="E13"/>
      <pageMargins left="0.7" right="0.7" top="0.75" bottom="0.75" header="0.3" footer="0.3"/>
      <pageSetup paperSize="9" orientation="portrait" r:id="rId1"/>
    </customSheetView>
    <customSheetView guid="{293A8923-ED08-4701-85A2-A97D5F3D44EF}" fitToPage="1" printArea="1" hiddenRows="1" hiddenColumns="1" topLeftCell="A8">
      <selection activeCell="AR22" sqref="AR22"/>
      <pageMargins left="0.7" right="0.7" top="0.75" bottom="0.75" header="0.3" footer="0.3"/>
      <pageSetup paperSize="9" scale="89" orientation="portrait" r:id="rId2"/>
    </customSheetView>
  </customSheetViews>
  <phoneticPr fontId="1" type="noConversion"/>
  <pageMargins left="0.7" right="0.7" top="0.75" bottom="0.75" header="0.3" footer="0.3"/>
  <pageSetup paperSize="9" scale="89" orientation="portrait" r:id="rId3"/>
  <ignoredErrors>
    <ignoredError sqref="AD13 AF13 AL13" formulaRange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abSelected="1" workbookViewId="0">
      <selection activeCell="D8" sqref="D8"/>
    </sheetView>
  </sheetViews>
  <sheetFormatPr defaultColWidth="9" defaultRowHeight="15.75"/>
  <cols>
    <col min="1" max="1" width="66.25" style="12" customWidth="1"/>
    <col min="2" max="2" width="3.25" style="15" customWidth="1"/>
    <col min="3" max="4" width="15.75" style="20" bestFit="1" customWidth="1"/>
    <col min="5" max="5" width="15.75" style="20" hidden="1" customWidth="1"/>
    <col min="6" max="6" width="13.375" style="20" hidden="1" customWidth="1"/>
    <col min="7" max="7" width="15.75" style="20" hidden="1" customWidth="1"/>
    <col min="8" max="8" width="15.75" style="20" bestFit="1" customWidth="1"/>
    <col min="9" max="10" width="15.75" style="20" hidden="1" customWidth="1"/>
    <col min="11" max="11" width="13.375" style="20" hidden="1" customWidth="1"/>
    <col min="12" max="15" width="15.75" style="20" hidden="1" customWidth="1"/>
    <col min="16" max="16" width="13.375" style="20" hidden="1" customWidth="1"/>
    <col min="17" max="22" width="15.75" style="20" hidden="1" customWidth="1"/>
    <col min="23" max="25" width="15.75" style="12" hidden="1" customWidth="1"/>
    <col min="26" max="28" width="0" style="12" hidden="1" customWidth="1"/>
    <col min="29" max="16384" width="9" style="12"/>
  </cols>
  <sheetData>
    <row r="1" spans="1:25" ht="75" customHeight="1">
      <c r="B1" s="20"/>
      <c r="U1" s="12"/>
      <c r="V1" s="12"/>
    </row>
    <row r="2" spans="1:25" ht="17.25" thickBot="1">
      <c r="A2" s="86" t="s">
        <v>113</v>
      </c>
      <c r="B2" s="16"/>
      <c r="C2" s="107" t="s">
        <v>171</v>
      </c>
      <c r="D2" s="107" t="s">
        <v>172</v>
      </c>
      <c r="E2" s="63" t="s">
        <v>51</v>
      </c>
      <c r="F2" s="63" t="s">
        <v>39</v>
      </c>
      <c r="G2" s="63" t="s">
        <v>38</v>
      </c>
      <c r="H2" s="107" t="s">
        <v>173</v>
      </c>
      <c r="I2" s="63" t="s">
        <v>37</v>
      </c>
      <c r="J2" s="63" t="s">
        <v>50</v>
      </c>
      <c r="K2" s="63" t="s">
        <v>35</v>
      </c>
      <c r="L2" s="63" t="s">
        <v>36</v>
      </c>
      <c r="M2" s="63" t="s">
        <v>34</v>
      </c>
      <c r="N2" s="63" t="s">
        <v>33</v>
      </c>
      <c r="O2" s="63" t="s">
        <v>32</v>
      </c>
      <c r="P2" s="63" t="s">
        <v>24</v>
      </c>
      <c r="Q2" s="63" t="s">
        <v>23</v>
      </c>
      <c r="R2" s="63" t="s">
        <v>20</v>
      </c>
      <c r="S2" s="63" t="s">
        <v>18</v>
      </c>
      <c r="T2" s="63" t="s">
        <v>16</v>
      </c>
      <c r="U2" s="63" t="s">
        <v>22</v>
      </c>
      <c r="V2" s="65" t="s">
        <v>25</v>
      </c>
      <c r="W2" s="65" t="s">
        <v>21</v>
      </c>
      <c r="X2" s="62" t="s">
        <v>19</v>
      </c>
      <c r="Y2" s="62" t="s">
        <v>17</v>
      </c>
    </row>
    <row r="3" spans="1:25">
      <c r="A3" s="103" t="s">
        <v>114</v>
      </c>
      <c r="B3" s="16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5">
      <c r="A4" s="14" t="s">
        <v>115</v>
      </c>
      <c r="B4" s="16"/>
      <c r="C4" s="3">
        <v>-185766</v>
      </c>
      <c r="D4" s="3">
        <v>-572629</v>
      </c>
      <c r="E4" s="3">
        <v>-187001</v>
      </c>
      <c r="F4" s="3">
        <v>-128095</v>
      </c>
      <c r="G4" s="3">
        <v>-119862</v>
      </c>
      <c r="H4" s="3">
        <v>-137671</v>
      </c>
      <c r="I4" s="3">
        <f>-151044-5560</f>
        <v>-156604</v>
      </c>
      <c r="J4" s="3">
        <v>5560</v>
      </c>
      <c r="K4" s="3">
        <v>312656</v>
      </c>
      <c r="L4" s="3">
        <f>312656-275721</f>
        <v>36935</v>
      </c>
      <c r="M4" s="3">
        <f>275721-141581</f>
        <v>134140</v>
      </c>
      <c r="N4" s="3">
        <f>141581-92991</f>
        <v>48590</v>
      </c>
      <c r="O4" s="3">
        <v>92991</v>
      </c>
      <c r="P4" s="3">
        <f>1003654</f>
        <v>1003654</v>
      </c>
      <c r="Q4" s="3">
        <f>P4-SUM(R4:T4)</f>
        <v>95701</v>
      </c>
      <c r="R4" s="3">
        <v>-4382</v>
      </c>
      <c r="S4" s="3">
        <v>952900</v>
      </c>
      <c r="T4" s="3">
        <v>-40565</v>
      </c>
      <c r="U4" s="3">
        <v>977057</v>
      </c>
      <c r="V4" s="3">
        <f>U4-SUM(W4:Y4)</f>
        <v>146416</v>
      </c>
      <c r="W4" s="3">
        <v>236725</v>
      </c>
      <c r="X4" s="3">
        <v>265691</v>
      </c>
      <c r="Y4" s="3">
        <v>328225</v>
      </c>
    </row>
    <row r="5" spans="1:25">
      <c r="A5" s="86" t="s">
        <v>116</v>
      </c>
      <c r="B5" s="1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>
        <v>0</v>
      </c>
      <c r="T5" s="3"/>
      <c r="U5" s="3"/>
      <c r="V5" s="3"/>
      <c r="W5" s="3"/>
      <c r="X5" s="3"/>
      <c r="Y5" s="3"/>
    </row>
    <row r="6" spans="1:25">
      <c r="A6" s="14" t="s">
        <v>117</v>
      </c>
      <c r="B6" s="16"/>
      <c r="C6" s="3">
        <v>10089</v>
      </c>
      <c r="D6" s="3">
        <v>46769</v>
      </c>
      <c r="E6" s="3">
        <v>12170</v>
      </c>
      <c r="F6" s="3">
        <v>11640</v>
      </c>
      <c r="G6" s="3">
        <v>11628</v>
      </c>
      <c r="H6" s="3">
        <v>11331</v>
      </c>
      <c r="I6" s="3">
        <f>24027-11787</f>
        <v>12240</v>
      </c>
      <c r="J6" s="3">
        <v>11787</v>
      </c>
      <c r="K6" s="3">
        <v>45369</v>
      </c>
      <c r="L6" s="3">
        <f>45369-34009</f>
        <v>11360</v>
      </c>
      <c r="M6" s="3">
        <f>34009-22834</f>
        <v>11175</v>
      </c>
      <c r="N6" s="3">
        <f>22834-11611</f>
        <v>11223</v>
      </c>
      <c r="O6" s="3">
        <v>11611</v>
      </c>
      <c r="P6" s="3">
        <v>46665</v>
      </c>
      <c r="Q6" s="3">
        <f t="shared" ref="Q6:Q58" si="0">P6-SUM(R6:T6)</f>
        <v>9741</v>
      </c>
      <c r="R6" s="3">
        <v>11850</v>
      </c>
      <c r="S6" s="3">
        <v>12496</v>
      </c>
      <c r="T6" s="3">
        <v>12578</v>
      </c>
      <c r="U6" s="3">
        <v>30882</v>
      </c>
      <c r="V6" s="3">
        <f t="shared" ref="V6:V28" si="1">U6-SUM(W6:Y6)</f>
        <v>-14262</v>
      </c>
      <c r="W6" s="3">
        <v>14416</v>
      </c>
      <c r="X6" s="3">
        <v>15575</v>
      </c>
      <c r="Y6" s="3">
        <v>15153</v>
      </c>
    </row>
    <row r="7" spans="1:25">
      <c r="A7" s="14" t="s">
        <v>118</v>
      </c>
      <c r="B7" s="16"/>
      <c r="C7" s="3">
        <v>28961</v>
      </c>
      <c r="D7" s="3">
        <v>127197</v>
      </c>
      <c r="E7" s="3">
        <v>30232</v>
      </c>
      <c r="F7" s="3">
        <v>34075</v>
      </c>
      <c r="G7" s="3">
        <v>32647</v>
      </c>
      <c r="H7" s="3">
        <v>30243</v>
      </c>
      <c r="I7" s="3">
        <f>65318-33378</f>
        <v>31940</v>
      </c>
      <c r="J7" s="3">
        <v>33378</v>
      </c>
      <c r="K7" s="3">
        <v>118657</v>
      </c>
      <c r="L7" s="3">
        <f>118657-87079</f>
        <v>31578</v>
      </c>
      <c r="M7" s="3">
        <f>87079-60130</f>
        <v>26949</v>
      </c>
      <c r="N7" s="3">
        <f>60130-31676</f>
        <v>28454</v>
      </c>
      <c r="O7" s="3">
        <v>31676</v>
      </c>
      <c r="P7" s="3">
        <v>120290</v>
      </c>
      <c r="Q7" s="3">
        <f t="shared" si="0"/>
        <v>31950</v>
      </c>
      <c r="R7" s="3">
        <v>28456</v>
      </c>
      <c r="S7" s="3">
        <v>30338</v>
      </c>
      <c r="T7" s="3">
        <v>29546</v>
      </c>
      <c r="U7" s="3">
        <v>94235</v>
      </c>
      <c r="V7" s="3">
        <f t="shared" si="1"/>
        <v>35491</v>
      </c>
      <c r="W7" s="3">
        <v>20359</v>
      </c>
      <c r="X7" s="3">
        <v>18913</v>
      </c>
      <c r="Y7" s="3">
        <v>19472</v>
      </c>
    </row>
    <row r="8" spans="1:25">
      <c r="A8" s="14" t="s">
        <v>174</v>
      </c>
      <c r="B8" s="16"/>
      <c r="C8" s="3">
        <v>14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>
      <c r="A9" s="14" t="s">
        <v>119</v>
      </c>
      <c r="B9" s="16"/>
      <c r="C9" s="3">
        <v>0</v>
      </c>
      <c r="D9" s="3">
        <v>0</v>
      </c>
      <c r="E9" s="3">
        <v>0</v>
      </c>
      <c r="F9" s="3">
        <v>0</v>
      </c>
      <c r="G9" s="3">
        <v>-430</v>
      </c>
      <c r="H9" s="3">
        <v>430</v>
      </c>
      <c r="I9" s="3">
        <v>0</v>
      </c>
      <c r="J9" s="3">
        <v>0</v>
      </c>
      <c r="K9" s="3">
        <v>97</v>
      </c>
      <c r="L9" s="3">
        <f>97-521</f>
        <v>-424</v>
      </c>
      <c r="M9" s="3">
        <f>521-643</f>
        <v>-122</v>
      </c>
      <c r="N9" s="3">
        <f>643-645</f>
        <v>-2</v>
      </c>
      <c r="O9" s="3">
        <v>645</v>
      </c>
      <c r="P9" s="3"/>
      <c r="Q9" s="3"/>
      <c r="R9" s="3"/>
      <c r="S9" s="3">
        <v>0</v>
      </c>
      <c r="T9" s="3"/>
      <c r="U9" s="3"/>
      <c r="V9" s="3"/>
      <c r="W9" s="3"/>
      <c r="X9" s="3"/>
      <c r="Y9" s="3"/>
    </row>
    <row r="10" spans="1:25">
      <c r="A10" s="14" t="s">
        <v>120</v>
      </c>
      <c r="B10" s="16"/>
      <c r="C10" s="3">
        <v>-526</v>
      </c>
      <c r="D10" s="3">
        <v>-3789</v>
      </c>
      <c r="E10" s="3">
        <v>-1176</v>
      </c>
      <c r="F10" s="3">
        <v>-1051</v>
      </c>
      <c r="G10" s="3">
        <v>-744</v>
      </c>
      <c r="H10" s="3">
        <v>-818</v>
      </c>
      <c r="I10" s="3">
        <f>799-(134+54043)</f>
        <v>-53378</v>
      </c>
      <c r="J10" s="3">
        <f>134+54043</f>
        <v>54177</v>
      </c>
      <c r="K10" s="3">
        <v>-2515</v>
      </c>
      <c r="L10" s="3">
        <f>-2515+2179</f>
        <v>-336</v>
      </c>
      <c r="M10" s="3">
        <f>(-2179)-(-2647)</f>
        <v>468</v>
      </c>
      <c r="N10" s="3">
        <f>(-2647)-(-6272+4010)</f>
        <v>-385</v>
      </c>
      <c r="O10" s="3">
        <f>-6272+4010</f>
        <v>-2262</v>
      </c>
      <c r="P10" s="3">
        <v>6465</v>
      </c>
      <c r="Q10" s="3">
        <f t="shared" si="0"/>
        <v>7527</v>
      </c>
      <c r="R10" s="3">
        <v>-1182</v>
      </c>
      <c r="S10" s="3">
        <v>14</v>
      </c>
      <c r="T10" s="3">
        <v>106</v>
      </c>
      <c r="U10" s="3">
        <v>5592</v>
      </c>
      <c r="V10" s="3">
        <f t="shared" si="1"/>
        <v>9208</v>
      </c>
      <c r="W10" s="3">
        <v>-3477</v>
      </c>
      <c r="X10" s="3">
        <v>19</v>
      </c>
      <c r="Y10" s="3">
        <v>-158</v>
      </c>
    </row>
    <row r="11" spans="1:25">
      <c r="A11" s="14" t="s">
        <v>121</v>
      </c>
      <c r="B11" s="16"/>
      <c r="C11" s="3">
        <v>10</v>
      </c>
      <c r="D11" s="3">
        <v>12</v>
      </c>
      <c r="E11" s="3">
        <v>3</v>
      </c>
      <c r="F11" s="3">
        <v>3</v>
      </c>
      <c r="G11" s="3">
        <v>3</v>
      </c>
      <c r="H11" s="3">
        <v>3</v>
      </c>
      <c r="I11" s="3">
        <f>87-21</f>
        <v>66</v>
      </c>
      <c r="J11" s="3">
        <v>21</v>
      </c>
      <c r="K11" s="3">
        <v>42</v>
      </c>
      <c r="L11" s="3">
        <f>42-26</f>
        <v>16</v>
      </c>
      <c r="M11" s="3">
        <f>26-24</f>
        <v>2</v>
      </c>
      <c r="N11" s="3">
        <f>24-16</f>
        <v>8</v>
      </c>
      <c r="O11" s="3">
        <v>16</v>
      </c>
      <c r="P11" s="3">
        <v>80</v>
      </c>
      <c r="Q11" s="3">
        <f t="shared" si="0"/>
        <v>16</v>
      </c>
      <c r="R11" s="3">
        <v>16</v>
      </c>
      <c r="S11" s="3">
        <v>16</v>
      </c>
      <c r="T11" s="3">
        <v>32</v>
      </c>
      <c r="U11" s="3">
        <v>244</v>
      </c>
      <c r="V11" s="3">
        <f t="shared" si="1"/>
        <v>29</v>
      </c>
      <c r="W11" s="3">
        <v>35</v>
      </c>
      <c r="X11" s="3">
        <v>118</v>
      </c>
      <c r="Y11" s="3">
        <v>62</v>
      </c>
    </row>
    <row r="12" spans="1:25">
      <c r="A12" s="14" t="s">
        <v>122</v>
      </c>
      <c r="B12" s="16"/>
      <c r="C12" s="3">
        <v>-7744</v>
      </c>
      <c r="D12" s="3">
        <v>-33919</v>
      </c>
      <c r="E12" s="3">
        <v>-7692</v>
      </c>
      <c r="F12" s="3">
        <v>-8618</v>
      </c>
      <c r="G12" s="3">
        <v>-8891</v>
      </c>
      <c r="H12" s="3">
        <v>-8718</v>
      </c>
      <c r="I12" s="3">
        <f>-29626-(-15196)</f>
        <v>-14430</v>
      </c>
      <c r="J12" s="3">
        <v>-15196</v>
      </c>
      <c r="K12" s="3">
        <v>-61703</v>
      </c>
      <c r="L12" s="3">
        <f>-61703+46579</f>
        <v>-15124</v>
      </c>
      <c r="M12" s="3">
        <f>(-46579)-(-32056)</f>
        <v>-14523</v>
      </c>
      <c r="N12" s="3">
        <f>-32056-(-15385)</f>
        <v>-16671</v>
      </c>
      <c r="O12" s="3">
        <v>-15385</v>
      </c>
      <c r="P12" s="3">
        <v>-54189</v>
      </c>
      <c r="Q12" s="3">
        <f t="shared" si="0"/>
        <v>-17490</v>
      </c>
      <c r="R12" s="3">
        <v>-13187</v>
      </c>
      <c r="S12" s="3">
        <v>-13636</v>
      </c>
      <c r="T12" s="3">
        <v>-9876</v>
      </c>
      <c r="U12" s="3">
        <v>-43521</v>
      </c>
      <c r="V12" s="3">
        <f t="shared" si="1"/>
        <v>-10885</v>
      </c>
      <c r="W12" s="3">
        <v>-11030</v>
      </c>
      <c r="X12" s="3">
        <v>-11195</v>
      </c>
      <c r="Y12" s="3">
        <v>-10411</v>
      </c>
    </row>
    <row r="13" spans="1:25">
      <c r="A13" s="14" t="s">
        <v>123</v>
      </c>
      <c r="B13" s="16"/>
      <c r="C13" s="3">
        <v>-333</v>
      </c>
      <c r="D13" s="3">
        <v>-1809</v>
      </c>
      <c r="E13" s="3">
        <v>-489</v>
      </c>
      <c r="F13" s="3">
        <v>-693</v>
      </c>
      <c r="G13" s="3">
        <v>-477</v>
      </c>
      <c r="H13" s="3">
        <v>-150</v>
      </c>
      <c r="I13" s="3">
        <v>0</v>
      </c>
      <c r="J13" s="3">
        <v>0</v>
      </c>
      <c r="K13" s="3">
        <v>-50</v>
      </c>
      <c r="L13" s="3">
        <f>-50+50</f>
        <v>0</v>
      </c>
      <c r="M13" s="3">
        <v>-50</v>
      </c>
      <c r="N13" s="3">
        <v>0</v>
      </c>
      <c r="O13" s="3">
        <v>0</v>
      </c>
      <c r="P13" s="3">
        <v>-91</v>
      </c>
      <c r="Q13" s="3">
        <f t="shared" si="0"/>
        <v>0</v>
      </c>
      <c r="R13" s="3">
        <v>-91</v>
      </c>
      <c r="S13" s="3">
        <v>0</v>
      </c>
      <c r="T13" s="3">
        <v>0</v>
      </c>
      <c r="U13" s="3">
        <v>-124</v>
      </c>
      <c r="V13" s="3">
        <f t="shared" si="1"/>
        <v>-124</v>
      </c>
      <c r="W13" s="3">
        <v>0</v>
      </c>
      <c r="X13" s="3">
        <v>0</v>
      </c>
      <c r="Y13" s="3">
        <v>0</v>
      </c>
    </row>
    <row r="14" spans="1:25">
      <c r="A14" s="14" t="s">
        <v>124</v>
      </c>
      <c r="B14" s="16"/>
      <c r="C14" s="3">
        <v>910</v>
      </c>
      <c r="D14" s="3">
        <v>16710</v>
      </c>
      <c r="E14" s="3">
        <v>863</v>
      </c>
      <c r="F14" s="3">
        <v>2971</v>
      </c>
      <c r="G14" s="3">
        <v>8536</v>
      </c>
      <c r="H14" s="3">
        <v>4340</v>
      </c>
      <c r="I14" s="3">
        <f>54611-26867</f>
        <v>27744</v>
      </c>
      <c r="J14" s="3">
        <v>26867</v>
      </c>
      <c r="K14" s="3">
        <v>93694</v>
      </c>
      <c r="L14" s="3">
        <f>93694-68228</f>
        <v>25466</v>
      </c>
      <c r="M14" s="3">
        <f>68228-33737</f>
        <v>34491</v>
      </c>
      <c r="N14" s="3">
        <f>33737-16868</f>
        <v>16869</v>
      </c>
      <c r="O14" s="3">
        <v>16868</v>
      </c>
      <c r="P14" s="3">
        <v>55411</v>
      </c>
      <c r="Q14" s="3">
        <f t="shared" si="0"/>
        <v>16900</v>
      </c>
      <c r="R14" s="3">
        <v>14445</v>
      </c>
      <c r="S14" s="3">
        <v>12033</v>
      </c>
      <c r="T14" s="3">
        <v>12033</v>
      </c>
      <c r="U14" s="3">
        <v>20824</v>
      </c>
      <c r="V14" s="3">
        <f t="shared" si="1"/>
        <v>11904</v>
      </c>
      <c r="W14" s="3">
        <v>6192</v>
      </c>
      <c r="X14" s="3">
        <v>0</v>
      </c>
      <c r="Y14" s="3">
        <v>2728</v>
      </c>
    </row>
    <row r="15" spans="1:25">
      <c r="A15" s="14" t="s">
        <v>125</v>
      </c>
      <c r="B15" s="16"/>
      <c r="C15" s="3">
        <v>122</v>
      </c>
      <c r="D15" s="3">
        <v>60</v>
      </c>
      <c r="E15" s="3">
        <v>60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-282</v>
      </c>
      <c r="Q15" s="3">
        <f t="shared" si="0"/>
        <v>300</v>
      </c>
      <c r="R15" s="3">
        <v>-551</v>
      </c>
      <c r="S15" s="3">
        <v>1540</v>
      </c>
      <c r="T15" s="3">
        <v>-1571</v>
      </c>
      <c r="U15" s="3">
        <v>2083</v>
      </c>
      <c r="V15" s="3">
        <f t="shared" si="1"/>
        <v>1374</v>
      </c>
      <c r="W15" s="3">
        <v>700</v>
      </c>
      <c r="X15" s="3">
        <v>2454</v>
      </c>
      <c r="Y15" s="3">
        <v>-2445</v>
      </c>
    </row>
    <row r="16" spans="1:25">
      <c r="A16" s="14" t="s">
        <v>126</v>
      </c>
      <c r="B16" s="16"/>
      <c r="C16" s="3">
        <v>0</v>
      </c>
      <c r="D16" s="3">
        <v>74</v>
      </c>
      <c r="E16" s="3">
        <v>2</v>
      </c>
      <c r="F16" s="3">
        <v>40</v>
      </c>
      <c r="G16" s="3">
        <v>33</v>
      </c>
      <c r="H16" s="3">
        <v>-1</v>
      </c>
      <c r="I16" s="3">
        <f>220-29</f>
        <v>191</v>
      </c>
      <c r="J16" s="3">
        <v>29</v>
      </c>
      <c r="K16" s="3">
        <v>1512</v>
      </c>
      <c r="L16" s="3">
        <f>1512-637</f>
        <v>875</v>
      </c>
      <c r="M16" s="3">
        <f>637-520</f>
        <v>117</v>
      </c>
      <c r="N16" s="3">
        <f>520-45</f>
        <v>475</v>
      </c>
      <c r="O16" s="3">
        <v>45</v>
      </c>
      <c r="P16" s="3">
        <f>1875-897111</f>
        <v>-895236</v>
      </c>
      <c r="Q16" s="3">
        <f t="shared" si="0"/>
        <v>1663</v>
      </c>
      <c r="R16" s="3">
        <v>44</v>
      </c>
      <c r="S16" s="3">
        <v>-896945</v>
      </c>
      <c r="T16" s="3">
        <v>2</v>
      </c>
      <c r="U16" s="3">
        <v>39109</v>
      </c>
      <c r="V16" s="3">
        <f t="shared" si="1"/>
        <v>38242</v>
      </c>
      <c r="W16" s="3">
        <v>30</v>
      </c>
      <c r="X16" s="3">
        <v>755</v>
      </c>
      <c r="Y16" s="3">
        <v>82</v>
      </c>
    </row>
    <row r="17" spans="1:25">
      <c r="A17" s="14" t="s">
        <v>127</v>
      </c>
      <c r="B17" s="16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3</v>
      </c>
      <c r="R17" s="3">
        <v>0</v>
      </c>
      <c r="S17" s="3">
        <v>0</v>
      </c>
      <c r="T17" s="3">
        <v>-3</v>
      </c>
      <c r="U17" s="3">
        <v>0</v>
      </c>
      <c r="V17" s="3">
        <f t="shared" si="1"/>
        <v>0</v>
      </c>
      <c r="W17" s="3">
        <v>0</v>
      </c>
      <c r="X17" s="3">
        <v>0</v>
      </c>
      <c r="Y17" s="3">
        <v>0</v>
      </c>
    </row>
    <row r="18" spans="1:25">
      <c r="A18" s="14" t="s">
        <v>128</v>
      </c>
      <c r="B18" s="16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f>-2968-(-2991)</f>
        <v>23</v>
      </c>
      <c r="J18" s="3">
        <v>-2991</v>
      </c>
      <c r="K18" s="3">
        <v>-1702</v>
      </c>
      <c r="L18" s="3">
        <f>-1702+1690</f>
        <v>-12</v>
      </c>
      <c r="M18" s="3">
        <v>-1690</v>
      </c>
      <c r="N18" s="3">
        <v>0</v>
      </c>
      <c r="O18" s="3">
        <v>0</v>
      </c>
      <c r="P18" s="3">
        <v>1140</v>
      </c>
      <c r="Q18" s="3">
        <f t="shared" si="0"/>
        <v>1140</v>
      </c>
      <c r="R18" s="3">
        <v>0</v>
      </c>
      <c r="S18" s="3">
        <v>0</v>
      </c>
      <c r="T18" s="3">
        <v>0</v>
      </c>
      <c r="U18" s="3">
        <v>-10</v>
      </c>
      <c r="V18" s="3">
        <f t="shared" si="1"/>
        <v>0</v>
      </c>
      <c r="W18" s="3">
        <v>0</v>
      </c>
      <c r="X18" s="3">
        <v>0</v>
      </c>
      <c r="Y18" s="3">
        <v>-10</v>
      </c>
    </row>
    <row r="19" spans="1:25">
      <c r="A19" s="14" t="s">
        <v>129</v>
      </c>
      <c r="B19" s="16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25965</v>
      </c>
      <c r="L19" s="3">
        <f>25965-25965</f>
        <v>0</v>
      </c>
      <c r="M19" s="3">
        <v>25965</v>
      </c>
      <c r="N19" s="3">
        <v>0</v>
      </c>
      <c r="O19" s="3">
        <v>0</v>
      </c>
      <c r="P19" s="3"/>
      <c r="Q19" s="3"/>
      <c r="R19" s="3"/>
      <c r="S19" s="3">
        <v>0</v>
      </c>
      <c r="T19" s="3"/>
      <c r="U19" s="3"/>
      <c r="V19" s="3"/>
      <c r="W19" s="3"/>
      <c r="X19" s="3"/>
      <c r="Y19" s="3"/>
    </row>
    <row r="20" spans="1:25">
      <c r="A20" s="14" t="s">
        <v>130</v>
      </c>
      <c r="B20" s="16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5269</v>
      </c>
      <c r="L20" s="3">
        <v>5269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>
      <c r="A21" s="14" t="s">
        <v>131</v>
      </c>
      <c r="B21" s="16"/>
      <c r="C21" s="3">
        <v>-5331</v>
      </c>
      <c r="D21" s="3">
        <v>-3498</v>
      </c>
      <c r="E21" s="3">
        <v>4629</v>
      </c>
      <c r="F21" s="3">
        <v>-491</v>
      </c>
      <c r="G21" s="3">
        <v>-2692</v>
      </c>
      <c r="H21" s="3">
        <v>-4944</v>
      </c>
      <c r="I21" s="3">
        <f>1046-1472</f>
        <v>-426</v>
      </c>
      <c r="J21" s="3">
        <v>1472</v>
      </c>
      <c r="K21" s="3">
        <v>-2426</v>
      </c>
      <c r="L21" s="3">
        <f>-2426-1013</f>
        <v>-3439</v>
      </c>
      <c r="M21" s="3">
        <f>1013-3176</f>
        <v>-2163</v>
      </c>
      <c r="N21" s="3">
        <f>3176-190</f>
        <v>2986</v>
      </c>
      <c r="O21" s="3">
        <v>190</v>
      </c>
      <c r="P21" s="3">
        <v>-1492</v>
      </c>
      <c r="Q21" s="3">
        <f t="shared" si="0"/>
        <v>-860</v>
      </c>
      <c r="R21" s="3">
        <v>550</v>
      </c>
      <c r="S21" s="3">
        <v>-820</v>
      </c>
      <c r="T21" s="3">
        <v>-362</v>
      </c>
      <c r="U21" s="3">
        <v>0</v>
      </c>
      <c r="V21" s="3">
        <f t="shared" si="1"/>
        <v>0</v>
      </c>
      <c r="W21" s="3">
        <v>0</v>
      </c>
      <c r="X21" s="3">
        <v>0</v>
      </c>
      <c r="Y21" s="3">
        <v>0</v>
      </c>
    </row>
    <row r="22" spans="1:25">
      <c r="A22" s="14" t="s">
        <v>132</v>
      </c>
      <c r="B22" s="16"/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/>
      <c r="L22" s="3">
        <v>0</v>
      </c>
      <c r="M22" s="3">
        <v>0</v>
      </c>
      <c r="N22" s="3">
        <v>0</v>
      </c>
      <c r="O22" s="3">
        <v>0</v>
      </c>
      <c r="P22" s="3"/>
      <c r="Q22" s="3">
        <v>0</v>
      </c>
      <c r="R22" s="3"/>
      <c r="S22" s="3">
        <v>0</v>
      </c>
      <c r="T22" s="3">
        <v>0</v>
      </c>
      <c r="U22" s="3">
        <v>23937</v>
      </c>
      <c r="V22" s="3">
        <f t="shared" si="1"/>
        <v>23937</v>
      </c>
      <c r="W22" s="3"/>
      <c r="X22" s="57"/>
      <c r="Y22" s="57"/>
    </row>
    <row r="23" spans="1:25">
      <c r="A23" s="14" t="s">
        <v>133</v>
      </c>
      <c r="B23" s="16"/>
      <c r="C23" s="3">
        <v>-24166</v>
      </c>
      <c r="D23" s="3">
        <v>-383994</v>
      </c>
      <c r="E23" s="3">
        <v>-156764</v>
      </c>
      <c r="F23" s="3">
        <v>-219217</v>
      </c>
      <c r="G23" s="3">
        <v>151053</v>
      </c>
      <c r="H23" s="3">
        <v>-159066</v>
      </c>
      <c r="I23" s="3">
        <v>-186611</v>
      </c>
      <c r="J23" s="3">
        <v>32211</v>
      </c>
      <c r="K23" s="3">
        <v>-351716</v>
      </c>
      <c r="L23" s="3">
        <v>26065</v>
      </c>
      <c r="M23" s="3">
        <f>(-377781)-(-143036)</f>
        <v>-234745</v>
      </c>
      <c r="N23" s="3">
        <f>(-143036)-47902</f>
        <v>-190938</v>
      </c>
      <c r="O23" s="3">
        <v>47902</v>
      </c>
      <c r="P23" s="3">
        <v>-45490</v>
      </c>
      <c r="Q23" s="3">
        <v>156318</v>
      </c>
      <c r="R23" s="3">
        <v>-212929</v>
      </c>
      <c r="S23" s="3">
        <v>-11410</v>
      </c>
      <c r="T23" s="3">
        <v>22531</v>
      </c>
      <c r="U23" s="3">
        <v>41691</v>
      </c>
      <c r="V23" s="3">
        <f t="shared" si="1"/>
        <v>-28377</v>
      </c>
      <c r="W23" s="3">
        <v>-342221</v>
      </c>
      <c r="X23" s="57">
        <v>145365</v>
      </c>
      <c r="Y23" s="57">
        <v>266924</v>
      </c>
    </row>
    <row r="24" spans="1:25">
      <c r="A24" s="103" t="s">
        <v>134</v>
      </c>
      <c r="B24" s="59"/>
      <c r="C24" s="56">
        <v>-183760</v>
      </c>
      <c r="D24" s="56">
        <v>-808816</v>
      </c>
      <c r="E24" s="56">
        <v>-305163</v>
      </c>
      <c r="F24" s="56">
        <v>-309436</v>
      </c>
      <c r="G24" s="56">
        <v>70804</v>
      </c>
      <c r="H24" s="56">
        <v>-265021</v>
      </c>
      <c r="I24" s="56">
        <f t="shared" ref="I24:J24" si="2">SUM(I4:I23)</f>
        <v>-339245</v>
      </c>
      <c r="J24" s="56">
        <f t="shared" si="2"/>
        <v>147315</v>
      </c>
      <c r="K24" s="56">
        <f t="shared" ref="K24:Q24" si="3">SUM(K4:K23)</f>
        <v>183149</v>
      </c>
      <c r="L24" s="56">
        <f t="shared" si="3"/>
        <v>118229</v>
      </c>
      <c r="M24" s="56">
        <f t="shared" si="3"/>
        <v>-19986</v>
      </c>
      <c r="N24" s="56">
        <f t="shared" si="3"/>
        <v>-99391</v>
      </c>
      <c r="O24" s="56">
        <f t="shared" si="3"/>
        <v>184297</v>
      </c>
      <c r="P24" s="56">
        <f t="shared" si="3"/>
        <v>236925</v>
      </c>
      <c r="Q24" s="56">
        <f t="shared" si="3"/>
        <v>302909</v>
      </c>
      <c r="R24" s="56">
        <f t="shared" ref="R24:Y24" si="4">SUM(R4:R23)</f>
        <v>-176961</v>
      </c>
      <c r="S24" s="56">
        <f t="shared" si="4"/>
        <v>86526</v>
      </c>
      <c r="T24" s="56">
        <f t="shared" si="4"/>
        <v>24451</v>
      </c>
      <c r="U24" s="56">
        <f t="shared" si="4"/>
        <v>1191999</v>
      </c>
      <c r="V24" s="56">
        <f t="shared" si="4"/>
        <v>212953</v>
      </c>
      <c r="W24" s="56">
        <f t="shared" si="4"/>
        <v>-78271</v>
      </c>
      <c r="X24" s="56">
        <f t="shared" si="4"/>
        <v>437695</v>
      </c>
      <c r="Y24" s="56">
        <f t="shared" si="4"/>
        <v>619622</v>
      </c>
    </row>
    <row r="25" spans="1:25">
      <c r="A25" s="104" t="s">
        <v>135</v>
      </c>
      <c r="B25" s="16"/>
      <c r="C25" s="3">
        <v>7983</v>
      </c>
      <c r="D25" s="3">
        <v>36694</v>
      </c>
      <c r="E25" s="3">
        <v>11945</v>
      </c>
      <c r="F25" s="3">
        <v>6560</v>
      </c>
      <c r="G25" s="3">
        <v>7160</v>
      </c>
      <c r="H25" s="3">
        <v>11029</v>
      </c>
      <c r="I25" s="3">
        <f>30253-18057</f>
        <v>12196</v>
      </c>
      <c r="J25" s="3">
        <v>18057</v>
      </c>
      <c r="K25" s="3">
        <v>63441</v>
      </c>
      <c r="L25" s="3">
        <f>63441-45210</f>
        <v>18231</v>
      </c>
      <c r="M25" s="3">
        <f>45210-31269</f>
        <v>13941</v>
      </c>
      <c r="N25" s="3">
        <f>31269-17789</f>
        <v>13480</v>
      </c>
      <c r="O25" s="3">
        <v>17789</v>
      </c>
      <c r="P25" s="72">
        <f>53708</f>
        <v>53708</v>
      </c>
      <c r="Q25" s="3">
        <f t="shared" si="0"/>
        <v>16425</v>
      </c>
      <c r="R25" s="3">
        <v>15257</v>
      </c>
      <c r="S25" s="3">
        <v>11571</v>
      </c>
      <c r="T25" s="3">
        <v>10455</v>
      </c>
      <c r="U25" s="3">
        <f>41699+124</f>
        <v>41823</v>
      </c>
      <c r="V25" s="3">
        <f t="shared" si="1"/>
        <v>13371</v>
      </c>
      <c r="W25" s="3">
        <v>8669</v>
      </c>
      <c r="X25" s="3">
        <v>8790</v>
      </c>
      <c r="Y25" s="3">
        <v>10993</v>
      </c>
    </row>
    <row r="26" spans="1:25">
      <c r="A26" s="105" t="s">
        <v>136</v>
      </c>
      <c r="B26" s="16"/>
      <c r="C26" s="3">
        <v>333</v>
      </c>
      <c r="D26" s="3">
        <v>1809</v>
      </c>
      <c r="E26" s="3">
        <v>489</v>
      </c>
      <c r="F26" s="3">
        <v>693</v>
      </c>
      <c r="G26" s="3">
        <v>477</v>
      </c>
      <c r="H26" s="3">
        <v>150</v>
      </c>
      <c r="I26" s="3">
        <v>0</v>
      </c>
      <c r="J26" s="3">
        <v>0</v>
      </c>
      <c r="K26" s="3">
        <v>50</v>
      </c>
      <c r="L26" s="3">
        <v>0</v>
      </c>
      <c r="M26" s="3">
        <v>50</v>
      </c>
      <c r="N26" s="3">
        <v>0</v>
      </c>
      <c r="O26" s="3">
        <v>0</v>
      </c>
      <c r="P26" s="72">
        <v>91</v>
      </c>
      <c r="Q26" s="3">
        <v>0</v>
      </c>
      <c r="R26" s="72">
        <v>91</v>
      </c>
      <c r="S26" s="3">
        <v>0</v>
      </c>
      <c r="T26" s="3"/>
      <c r="U26" s="3"/>
      <c r="V26" s="3"/>
      <c r="W26" s="3"/>
      <c r="X26" s="3"/>
      <c r="Y26" s="3"/>
    </row>
    <row r="27" spans="1:25">
      <c r="A27" s="14" t="s">
        <v>137</v>
      </c>
      <c r="B27" s="16"/>
      <c r="C27" s="3">
        <v>-10</v>
      </c>
      <c r="D27" s="3">
        <v>-12</v>
      </c>
      <c r="E27" s="3">
        <v>-3</v>
      </c>
      <c r="F27" s="3">
        <v>-3</v>
      </c>
      <c r="G27" s="3">
        <v>-3</v>
      </c>
      <c r="H27" s="3">
        <v>-3</v>
      </c>
      <c r="I27" s="3">
        <f>-87-(-21)</f>
        <v>-66</v>
      </c>
      <c r="J27" s="3">
        <v>-21</v>
      </c>
      <c r="K27" s="3">
        <v>-42</v>
      </c>
      <c r="L27" s="3">
        <f>-42+26</f>
        <v>-16</v>
      </c>
      <c r="M27" s="3">
        <f>(-26)-(-24)</f>
        <v>-2</v>
      </c>
      <c r="N27" s="3">
        <f>-24-(-16)</f>
        <v>-8</v>
      </c>
      <c r="O27" s="3">
        <v>-16</v>
      </c>
      <c r="P27" s="3">
        <v>-80</v>
      </c>
      <c r="Q27" s="3">
        <f t="shared" si="0"/>
        <v>-16</v>
      </c>
      <c r="R27" s="3">
        <v>-16</v>
      </c>
      <c r="S27" s="3">
        <v>-16</v>
      </c>
      <c r="T27" s="3">
        <v>-32</v>
      </c>
      <c r="U27" s="3">
        <v>-244</v>
      </c>
      <c r="V27" s="3">
        <f t="shared" si="1"/>
        <v>-29</v>
      </c>
      <c r="W27" s="3">
        <v>-35</v>
      </c>
      <c r="X27" s="3">
        <v>-118</v>
      </c>
      <c r="Y27" s="3">
        <v>-62</v>
      </c>
    </row>
    <row r="28" spans="1:25">
      <c r="A28" s="14" t="s">
        <v>138</v>
      </c>
      <c r="B28" s="16"/>
      <c r="C28" s="85">
        <v>-3</v>
      </c>
      <c r="D28" s="3">
        <v>-10750</v>
      </c>
      <c r="E28" s="3">
        <v>-2083</v>
      </c>
      <c r="F28" s="3">
        <v>-1928</v>
      </c>
      <c r="G28" s="3">
        <v>857</v>
      </c>
      <c r="H28" s="3">
        <v>-7596</v>
      </c>
      <c r="I28" s="3">
        <f>-35355-(-4083)</f>
        <v>-31272</v>
      </c>
      <c r="J28" s="3">
        <v>-4083</v>
      </c>
      <c r="K28" s="3">
        <v>-108199</v>
      </c>
      <c r="L28" s="3">
        <f>-108199+103294</f>
        <v>-4905</v>
      </c>
      <c r="M28" s="3">
        <f>(-103294)-(-67527)</f>
        <v>-35767</v>
      </c>
      <c r="N28" s="3">
        <f>-67527-(-1239)</f>
        <v>-66288</v>
      </c>
      <c r="O28" s="3">
        <v>-1239</v>
      </c>
      <c r="P28" s="3">
        <v>-149582</v>
      </c>
      <c r="Q28" s="3">
        <f t="shared" si="0"/>
        <v>-1893</v>
      </c>
      <c r="R28" s="3">
        <v>-4591</v>
      </c>
      <c r="S28" s="3">
        <v>-142835</v>
      </c>
      <c r="T28" s="3">
        <v>-263</v>
      </c>
      <c r="U28" s="3">
        <v>-129078</v>
      </c>
      <c r="V28" s="3">
        <f t="shared" si="1"/>
        <v>-1349</v>
      </c>
      <c r="W28" s="3">
        <v>-47963</v>
      </c>
      <c r="X28" s="3">
        <v>-79048</v>
      </c>
      <c r="Y28" s="3">
        <v>-718</v>
      </c>
    </row>
    <row r="29" spans="1:25" s="13" customFormat="1">
      <c r="A29" s="103" t="s">
        <v>139</v>
      </c>
      <c r="B29" s="16"/>
      <c r="C29" s="56">
        <v>-175457</v>
      </c>
      <c r="D29" s="56">
        <v>-781075</v>
      </c>
      <c r="E29" s="56">
        <v>-294815</v>
      </c>
      <c r="F29" s="56">
        <v>-304114</v>
      </c>
      <c r="G29" s="56">
        <v>79295</v>
      </c>
      <c r="H29" s="56">
        <v>-261441</v>
      </c>
      <c r="I29" s="56">
        <f t="shared" ref="I29:J29" si="5">SUM(I24:I28)</f>
        <v>-358387</v>
      </c>
      <c r="J29" s="56">
        <f t="shared" si="5"/>
        <v>161268</v>
      </c>
      <c r="K29" s="56">
        <f t="shared" ref="K29:P29" si="6">SUM(K24:K28)</f>
        <v>138399</v>
      </c>
      <c r="L29" s="56">
        <f t="shared" si="6"/>
        <v>131539</v>
      </c>
      <c r="M29" s="56">
        <f t="shared" si="6"/>
        <v>-41764</v>
      </c>
      <c r="N29" s="56">
        <f t="shared" si="6"/>
        <v>-152207</v>
      </c>
      <c r="O29" s="56">
        <f t="shared" si="6"/>
        <v>200831</v>
      </c>
      <c r="P29" s="73">
        <f t="shared" si="6"/>
        <v>141062</v>
      </c>
      <c r="Q29" s="73">
        <f t="shared" si="0"/>
        <v>317425</v>
      </c>
      <c r="R29" s="73">
        <v>-166220</v>
      </c>
      <c r="S29" s="56">
        <f>SUM(S24:S28)</f>
        <v>-44754</v>
      </c>
      <c r="T29" s="56">
        <f>SUM(T24:T28)</f>
        <v>34611</v>
      </c>
      <c r="U29" s="56">
        <f>SUM(U24:U28)</f>
        <v>1104500</v>
      </c>
      <c r="V29" s="56">
        <f>SUM(V24:V28)</f>
        <v>224946</v>
      </c>
      <c r="W29" s="56">
        <v>-117600</v>
      </c>
      <c r="X29" s="56">
        <f>SUM(X24:X28)</f>
        <v>367319</v>
      </c>
      <c r="Y29" s="56">
        <f>SUM(Y24:Y28)</f>
        <v>629835</v>
      </c>
    </row>
    <row r="30" spans="1:25">
      <c r="A30" s="103"/>
      <c r="B30" s="16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14"/>
      <c r="X30" s="14"/>
      <c r="Y30" s="14"/>
    </row>
    <row r="31" spans="1:25">
      <c r="A31" s="103" t="s">
        <v>140</v>
      </c>
      <c r="B31" s="16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14"/>
      <c r="X31" s="14"/>
      <c r="Y31" s="14"/>
    </row>
    <row r="32" spans="1:25">
      <c r="A32" s="14" t="s">
        <v>141</v>
      </c>
      <c r="B32" s="16"/>
      <c r="C32" s="85"/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f>-8178-(-8241)</f>
        <v>63</v>
      </c>
      <c r="J32" s="3">
        <v>-8241</v>
      </c>
      <c r="K32" s="3">
        <v>-20083</v>
      </c>
      <c r="L32" s="3">
        <f>-20083+19728</f>
        <v>-355</v>
      </c>
      <c r="M32" s="3">
        <f>(-19728)-(-9927)</f>
        <v>-9801</v>
      </c>
      <c r="N32" s="3">
        <f>-9927</f>
        <v>-9927</v>
      </c>
      <c r="O32" s="3">
        <v>0</v>
      </c>
      <c r="P32" s="3">
        <v>-47698</v>
      </c>
      <c r="Q32" s="3">
        <f>P32-SUM(R32:T32)</f>
        <v>0</v>
      </c>
      <c r="R32" s="3">
        <v>0</v>
      </c>
      <c r="S32" s="3">
        <v>0</v>
      </c>
      <c r="T32" s="3">
        <v>-47698</v>
      </c>
      <c r="U32" s="3">
        <v>-20000</v>
      </c>
      <c r="V32" s="3">
        <f t="shared" ref="V32:V48" si="7">U32-SUM(W32:Y32)</f>
        <v>0</v>
      </c>
      <c r="W32" s="3">
        <v>0</v>
      </c>
      <c r="X32" s="3">
        <v>0</v>
      </c>
      <c r="Y32" s="3">
        <v>-20000</v>
      </c>
    </row>
    <row r="33" spans="1:26">
      <c r="A33" s="14" t="s">
        <v>142</v>
      </c>
      <c r="B33" s="16"/>
      <c r="C33" s="85"/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f>7117-7172</f>
        <v>-55</v>
      </c>
      <c r="J33" s="3">
        <v>7172</v>
      </c>
      <c r="K33" s="3">
        <v>3485</v>
      </c>
      <c r="L33" s="3">
        <f>3485-3459</f>
        <v>26</v>
      </c>
      <c r="M33" s="3">
        <v>3459</v>
      </c>
      <c r="N33" s="3">
        <v>0</v>
      </c>
      <c r="O33" s="3">
        <v>0</v>
      </c>
      <c r="P33" s="3">
        <v>0</v>
      </c>
      <c r="Q33" s="3">
        <f t="shared" si="0"/>
        <v>0</v>
      </c>
      <c r="R33" s="3">
        <v>0</v>
      </c>
      <c r="S33" s="3">
        <v>0</v>
      </c>
      <c r="T33" s="3">
        <v>0</v>
      </c>
      <c r="U33" s="3">
        <v>20010</v>
      </c>
      <c r="V33" s="3">
        <f t="shared" si="7"/>
        <v>0</v>
      </c>
      <c r="W33" s="3">
        <v>0</v>
      </c>
      <c r="X33" s="3">
        <v>0</v>
      </c>
      <c r="Y33" s="3">
        <v>20010</v>
      </c>
    </row>
    <row r="34" spans="1:26" s="13" customFormat="1">
      <c r="A34" s="14" t="s">
        <v>143</v>
      </c>
      <c r="B34" s="16"/>
      <c r="C34" s="85"/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-403134</v>
      </c>
      <c r="L34" s="3">
        <v>-79698</v>
      </c>
      <c r="M34" s="3">
        <f>-323436-(-185419)</f>
        <v>-138017</v>
      </c>
      <c r="N34" s="3">
        <f>-185419-(-1003136)</f>
        <v>817717</v>
      </c>
      <c r="O34" s="3">
        <v>-1003136</v>
      </c>
      <c r="P34" s="3">
        <v>-1439536</v>
      </c>
      <c r="Q34" s="3">
        <f t="shared" si="0"/>
        <v>-444920</v>
      </c>
      <c r="R34" s="3">
        <v>143306</v>
      </c>
      <c r="S34" s="3">
        <v>-1085550</v>
      </c>
      <c r="T34" s="3">
        <v>-52372</v>
      </c>
      <c r="U34" s="3">
        <v>-519490</v>
      </c>
      <c r="V34" s="3">
        <f t="shared" si="7"/>
        <v>533137</v>
      </c>
      <c r="W34" s="3">
        <v>398624</v>
      </c>
      <c r="X34" s="3">
        <v>-987530</v>
      </c>
      <c r="Y34" s="3">
        <v>-463721</v>
      </c>
    </row>
    <row r="35" spans="1:26" s="13" customFormat="1">
      <c r="A35" s="12" t="s">
        <v>144</v>
      </c>
      <c r="B35" s="16"/>
      <c r="C35" s="85"/>
      <c r="D35" s="3">
        <v>558604</v>
      </c>
      <c r="E35" s="3">
        <v>529424</v>
      </c>
      <c r="F35" s="3">
        <v>111849</v>
      </c>
      <c r="G35" s="3">
        <v>17838</v>
      </c>
      <c r="H35" s="3">
        <v>-100507</v>
      </c>
      <c r="I35" s="3">
        <f>427148-208271</f>
        <v>218877</v>
      </c>
      <c r="J35" s="3">
        <v>208271</v>
      </c>
      <c r="K35" s="3"/>
      <c r="L35" s="3">
        <v>0</v>
      </c>
      <c r="M35" s="3"/>
      <c r="N35" s="3"/>
      <c r="O35" s="3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6" s="13" customFormat="1">
      <c r="A36" s="12" t="s">
        <v>175</v>
      </c>
      <c r="B36" s="16"/>
      <c r="C36" s="85">
        <v>496994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6">
      <c r="A37" s="14" t="s">
        <v>145</v>
      </c>
      <c r="B37" s="16"/>
      <c r="C37" s="85"/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f t="shared" si="0"/>
        <v>0</v>
      </c>
      <c r="R37" s="3">
        <v>0</v>
      </c>
      <c r="S37" s="3">
        <v>0</v>
      </c>
      <c r="T37" s="3">
        <v>0</v>
      </c>
      <c r="U37" s="3">
        <v>-29560</v>
      </c>
      <c r="V37" s="3">
        <f t="shared" si="7"/>
        <v>0</v>
      </c>
      <c r="W37" s="3">
        <v>0</v>
      </c>
      <c r="X37" s="3">
        <v>-29560</v>
      </c>
      <c r="Y37" s="12">
        <v>0</v>
      </c>
    </row>
    <row r="38" spans="1:26">
      <c r="A38" s="14" t="s">
        <v>146</v>
      </c>
      <c r="B38" s="16"/>
      <c r="C38" s="85"/>
      <c r="D38" s="3">
        <v>-15059</v>
      </c>
      <c r="E38" s="3">
        <v>0</v>
      </c>
      <c r="F38" s="3">
        <v>0</v>
      </c>
      <c r="G38" s="3">
        <v>-15059</v>
      </c>
      <c r="H38" s="3">
        <v>0</v>
      </c>
      <c r="I38" s="3">
        <v>0</v>
      </c>
      <c r="J38" s="3">
        <v>0</v>
      </c>
      <c r="K38" s="3">
        <v>-45862</v>
      </c>
      <c r="L38" s="3">
        <v>-45862</v>
      </c>
      <c r="M38" s="3">
        <v>0</v>
      </c>
      <c r="N38" s="3">
        <v>0</v>
      </c>
      <c r="O38" s="3">
        <v>0</v>
      </c>
      <c r="P38" s="3">
        <v>0</v>
      </c>
      <c r="Q38" s="3"/>
      <c r="R38" s="3"/>
      <c r="S38" s="3"/>
      <c r="T38" s="3"/>
      <c r="U38" s="3"/>
      <c r="V38" s="3"/>
      <c r="W38" s="3"/>
      <c r="X38" s="3"/>
    </row>
    <row r="39" spans="1:26">
      <c r="A39" s="12" t="s">
        <v>176</v>
      </c>
      <c r="B39" s="16"/>
      <c r="C39" s="85"/>
      <c r="D39" s="3">
        <v>60448</v>
      </c>
      <c r="E39" s="3">
        <v>0</v>
      </c>
      <c r="F39" s="3">
        <v>15059</v>
      </c>
      <c r="G39" s="3">
        <v>25238</v>
      </c>
      <c r="H39" s="3">
        <v>20151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6">
      <c r="A40" s="14" t="s">
        <v>147</v>
      </c>
      <c r="B40" s="16"/>
      <c r="C40" s="85"/>
      <c r="D40" s="3">
        <v>-18259</v>
      </c>
      <c r="E40" s="3">
        <v>-18259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-10250</v>
      </c>
      <c r="Q40" s="3">
        <f t="shared" si="0"/>
        <v>-179</v>
      </c>
      <c r="R40" s="3">
        <v>115</v>
      </c>
      <c r="S40" s="3">
        <v>-10186</v>
      </c>
      <c r="T40" s="3">
        <v>0</v>
      </c>
      <c r="U40" s="3">
        <v>0</v>
      </c>
      <c r="V40" s="3">
        <f t="shared" si="7"/>
        <v>0</v>
      </c>
      <c r="W40" s="3">
        <v>0</v>
      </c>
      <c r="X40" s="12">
        <v>0</v>
      </c>
      <c r="Y40" s="12">
        <v>0</v>
      </c>
    </row>
    <row r="41" spans="1:26">
      <c r="A41" s="14" t="s">
        <v>148</v>
      </c>
      <c r="B41" s="16"/>
      <c r="C41" s="85"/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f t="shared" si="0"/>
        <v>0</v>
      </c>
      <c r="R41" s="3">
        <v>0</v>
      </c>
      <c r="S41" s="3">
        <v>0</v>
      </c>
      <c r="T41" s="3">
        <v>0</v>
      </c>
      <c r="U41" s="3">
        <v>-507398</v>
      </c>
      <c r="V41" s="3">
        <f t="shared" si="7"/>
        <v>-507398</v>
      </c>
      <c r="W41" s="3"/>
    </row>
    <row r="42" spans="1:26" s="13" customFormat="1">
      <c r="A42" s="14" t="s">
        <v>149</v>
      </c>
      <c r="B42" s="16"/>
      <c r="C42" s="85">
        <v>-8071</v>
      </c>
      <c r="D42" s="3">
        <v>-24110</v>
      </c>
      <c r="E42" s="3">
        <v>-3181</v>
      </c>
      <c r="F42" s="3">
        <v>-8993</v>
      </c>
      <c r="G42" s="3">
        <v>-7608</v>
      </c>
      <c r="H42" s="3">
        <v>-4328</v>
      </c>
      <c r="I42" s="3">
        <f>-8884-(-6281)</f>
        <v>-2603</v>
      </c>
      <c r="J42" s="3">
        <v>-6281</v>
      </c>
      <c r="K42" s="3">
        <v>-29339</v>
      </c>
      <c r="L42" s="3">
        <f>-29339+18675</f>
        <v>-10664</v>
      </c>
      <c r="M42" s="3">
        <f>-18675-(-14675)</f>
        <v>-4000</v>
      </c>
      <c r="N42" s="3">
        <f>-14675-(-10944)</f>
        <v>-3731</v>
      </c>
      <c r="O42" s="3">
        <v>-10944</v>
      </c>
      <c r="P42" s="3">
        <v>-46357</v>
      </c>
      <c r="Q42" s="3">
        <f t="shared" si="0"/>
        <v>-11453</v>
      </c>
      <c r="R42" s="3">
        <v>-8525</v>
      </c>
      <c r="S42" s="3">
        <v>-14246</v>
      </c>
      <c r="T42" s="3">
        <v>-12133</v>
      </c>
      <c r="U42" s="3">
        <v>-37903</v>
      </c>
      <c r="V42" s="3">
        <f t="shared" si="7"/>
        <v>-9777</v>
      </c>
      <c r="W42" s="3">
        <v>-6301</v>
      </c>
      <c r="X42" s="3">
        <v>-9010</v>
      </c>
      <c r="Y42" s="3">
        <v>-12815</v>
      </c>
    </row>
    <row r="43" spans="1:26">
      <c r="A43" s="14" t="s">
        <v>150</v>
      </c>
      <c r="B43" s="16"/>
      <c r="C43" s="85">
        <v>0</v>
      </c>
      <c r="D43" s="3">
        <v>351</v>
      </c>
      <c r="E43" s="3">
        <v>1</v>
      </c>
      <c r="F43" s="3">
        <v>80</v>
      </c>
      <c r="G43" s="3">
        <v>253</v>
      </c>
      <c r="H43" s="3">
        <v>17</v>
      </c>
      <c r="I43" s="3">
        <f>43-10</f>
        <v>33</v>
      </c>
      <c r="J43" s="3">
        <v>10</v>
      </c>
      <c r="K43" s="3">
        <v>185</v>
      </c>
      <c r="L43" s="3">
        <f>185-23</f>
        <v>162</v>
      </c>
      <c r="M43" s="3">
        <f>23-20</f>
        <v>3</v>
      </c>
      <c r="N43" s="3">
        <f>20-20</f>
        <v>0</v>
      </c>
      <c r="O43" s="3">
        <v>20</v>
      </c>
      <c r="P43" s="3">
        <f>13+1703639</f>
        <v>1703652</v>
      </c>
      <c r="Q43" s="3">
        <f t="shared" si="0"/>
        <v>0</v>
      </c>
      <c r="R43" s="3">
        <v>0</v>
      </c>
      <c r="S43" s="3">
        <v>1703639</v>
      </c>
      <c r="T43" s="3">
        <v>13</v>
      </c>
      <c r="U43" s="3">
        <v>0</v>
      </c>
      <c r="V43" s="3">
        <f t="shared" si="7"/>
        <v>0</v>
      </c>
      <c r="W43" s="3">
        <v>0</v>
      </c>
      <c r="X43" s="12">
        <v>0</v>
      </c>
      <c r="Y43" s="12">
        <v>0</v>
      </c>
    </row>
    <row r="44" spans="1:26">
      <c r="A44" s="14" t="s">
        <v>151</v>
      </c>
      <c r="B44" s="16"/>
      <c r="C44" s="85">
        <v>0</v>
      </c>
      <c r="D44" s="3">
        <v>373</v>
      </c>
      <c r="E44" s="3">
        <v>1</v>
      </c>
      <c r="F44" s="3">
        <v>30</v>
      </c>
      <c r="G44" s="3">
        <v>296</v>
      </c>
      <c r="H44" s="3">
        <v>46</v>
      </c>
      <c r="I44" s="3">
        <f>153-444</f>
        <v>-291</v>
      </c>
      <c r="J44" s="3">
        <v>444</v>
      </c>
      <c r="K44" s="3">
        <v>-414</v>
      </c>
      <c r="L44" s="3">
        <f>-414-66</f>
        <v>-480</v>
      </c>
      <c r="M44" s="3">
        <f>66-63</f>
        <v>3</v>
      </c>
      <c r="N44" s="3">
        <f>63-(-15)</f>
        <v>78</v>
      </c>
      <c r="O44" s="3">
        <v>-15</v>
      </c>
      <c r="P44" s="3">
        <v>-4094</v>
      </c>
      <c r="Q44" s="3">
        <f t="shared" si="0"/>
        <v>-184</v>
      </c>
      <c r="R44" s="3">
        <v>-95</v>
      </c>
      <c r="S44" s="3">
        <v>-117</v>
      </c>
      <c r="T44" s="3">
        <v>-3698</v>
      </c>
      <c r="U44" s="3">
        <v>-1438</v>
      </c>
      <c r="V44" s="3">
        <f t="shared" si="7"/>
        <v>-517</v>
      </c>
      <c r="W44" s="3">
        <v>-1102</v>
      </c>
      <c r="X44" s="3">
        <v>140</v>
      </c>
      <c r="Y44" s="3">
        <v>41</v>
      </c>
    </row>
    <row r="45" spans="1:26">
      <c r="A45" s="14" t="s">
        <v>152</v>
      </c>
      <c r="B45" s="16"/>
      <c r="C45" s="85">
        <v>-104072</v>
      </c>
      <c r="D45" s="3">
        <v>-89049</v>
      </c>
      <c r="E45" s="3">
        <v>-8607</v>
      </c>
      <c r="F45" s="3">
        <v>-32628</v>
      </c>
      <c r="G45" s="3">
        <v>-41286</v>
      </c>
      <c r="H45" s="3">
        <v>-6528</v>
      </c>
      <c r="I45" s="3">
        <f>-36132-(-35303)</f>
        <v>-829</v>
      </c>
      <c r="J45" s="3">
        <v>-35303</v>
      </c>
      <c r="K45" s="3">
        <v>-124719</v>
      </c>
      <c r="L45" s="3">
        <f>-124719+16190</f>
        <v>-108529</v>
      </c>
      <c r="M45" s="3">
        <f>-16190-(-10376)</f>
        <v>-5814</v>
      </c>
      <c r="N45" s="3">
        <f>-10376-(-3302)</f>
        <v>-7074</v>
      </c>
      <c r="O45" s="3">
        <v>-3302</v>
      </c>
      <c r="P45" s="3">
        <v>-98143</v>
      </c>
      <c r="Q45" s="3">
        <f t="shared" si="0"/>
        <v>-40237</v>
      </c>
      <c r="R45" s="3">
        <v>-9791</v>
      </c>
      <c r="S45" s="3">
        <v>-33319</v>
      </c>
      <c r="T45" s="3">
        <v>-14796</v>
      </c>
      <c r="U45" s="3">
        <v>-64537</v>
      </c>
      <c r="V45" s="3">
        <f t="shared" si="7"/>
        <v>-17745</v>
      </c>
      <c r="W45" s="3">
        <v>-17514</v>
      </c>
      <c r="X45" s="3">
        <v>-11404</v>
      </c>
      <c r="Y45" s="3">
        <v>-17874</v>
      </c>
    </row>
    <row r="46" spans="1:26">
      <c r="A46" s="14" t="s">
        <v>153</v>
      </c>
      <c r="B46" s="16"/>
      <c r="C46" s="85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507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6">
      <c r="A47" s="14" t="s">
        <v>154</v>
      </c>
      <c r="C47" s="85"/>
      <c r="D47" s="3">
        <v>0</v>
      </c>
      <c r="E47" s="3">
        <v>0</v>
      </c>
      <c r="F47" s="3">
        <v>28</v>
      </c>
      <c r="G47" s="3">
        <v>2806</v>
      </c>
      <c r="H47" s="3">
        <v>-2834</v>
      </c>
      <c r="I47" s="3">
        <f>213-632</f>
        <v>-419</v>
      </c>
      <c r="J47" s="3">
        <v>632</v>
      </c>
      <c r="K47" s="3">
        <v>-683</v>
      </c>
      <c r="L47" s="3">
        <f>-683</f>
        <v>-683</v>
      </c>
      <c r="M47" s="3">
        <f>0-(-51)</f>
        <v>51</v>
      </c>
      <c r="N47" s="3">
        <f>-51-(-51)</f>
        <v>0</v>
      </c>
      <c r="O47" s="3">
        <v>-51</v>
      </c>
      <c r="P47" s="3">
        <v>0</v>
      </c>
      <c r="Q47" s="3">
        <f t="shared" si="0"/>
        <v>1762</v>
      </c>
      <c r="R47" s="3">
        <v>-1762</v>
      </c>
      <c r="S47" s="3">
        <v>204</v>
      </c>
      <c r="T47" s="3">
        <v>-204</v>
      </c>
      <c r="U47" s="3">
        <v>0</v>
      </c>
      <c r="V47" s="3">
        <f t="shared" si="7"/>
        <v>0</v>
      </c>
      <c r="W47" s="3">
        <v>0</v>
      </c>
      <c r="X47" s="3">
        <v>0</v>
      </c>
      <c r="Y47" s="3">
        <v>0</v>
      </c>
    </row>
    <row r="48" spans="1:26">
      <c r="A48" s="14" t="s">
        <v>155</v>
      </c>
      <c r="B48" s="16"/>
      <c r="C48" s="85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f t="shared" si="0"/>
        <v>0</v>
      </c>
      <c r="R48" s="3">
        <v>0</v>
      </c>
      <c r="S48" s="3">
        <v>0</v>
      </c>
      <c r="T48" s="3">
        <v>0</v>
      </c>
      <c r="U48" s="3">
        <v>48000</v>
      </c>
      <c r="V48" s="3">
        <f t="shared" si="7"/>
        <v>12000</v>
      </c>
      <c r="W48" s="3">
        <v>12000</v>
      </c>
      <c r="X48" s="3">
        <v>12000</v>
      </c>
      <c r="Y48" s="3">
        <v>12000</v>
      </c>
      <c r="Z48" s="18"/>
    </row>
    <row r="49" spans="1:26">
      <c r="A49" s="103" t="s">
        <v>156</v>
      </c>
      <c r="B49" s="27"/>
      <c r="C49" s="109">
        <v>384851</v>
      </c>
      <c r="D49" s="56">
        <v>473299</v>
      </c>
      <c r="E49" s="56">
        <v>499379</v>
      </c>
      <c r="F49" s="56">
        <v>85425</v>
      </c>
      <c r="G49" s="56">
        <v>-17522</v>
      </c>
      <c r="H49" s="56">
        <v>-93983</v>
      </c>
      <c r="I49" s="56">
        <f t="shared" ref="E49:J49" si="8">SUM(I32:I48)</f>
        <v>215283</v>
      </c>
      <c r="J49" s="56">
        <f t="shared" si="8"/>
        <v>166704</v>
      </c>
      <c r="K49" s="56">
        <f t="shared" ref="K49:P49" si="9">SUM(K32:K48)</f>
        <v>-620564</v>
      </c>
      <c r="L49" s="56">
        <f t="shared" si="9"/>
        <v>-246083</v>
      </c>
      <c r="M49" s="56">
        <f t="shared" si="9"/>
        <v>-154116</v>
      </c>
      <c r="N49" s="56">
        <f t="shared" si="9"/>
        <v>797063</v>
      </c>
      <c r="O49" s="56">
        <f t="shared" si="9"/>
        <v>-1017428</v>
      </c>
      <c r="P49" s="56">
        <f t="shared" si="9"/>
        <v>57574</v>
      </c>
      <c r="Q49" s="56">
        <f t="shared" si="0"/>
        <v>-495211</v>
      </c>
      <c r="R49" s="56">
        <f t="shared" ref="R49:Y49" si="10">SUM(R32:R48)</f>
        <v>123248</v>
      </c>
      <c r="S49" s="56">
        <f t="shared" si="10"/>
        <v>560425</v>
      </c>
      <c r="T49" s="56">
        <f t="shared" si="10"/>
        <v>-130888</v>
      </c>
      <c r="U49" s="56">
        <f t="shared" si="10"/>
        <v>-1112316</v>
      </c>
      <c r="V49" s="56">
        <f t="shared" si="10"/>
        <v>9700</v>
      </c>
      <c r="W49" s="56">
        <f t="shared" si="10"/>
        <v>385707</v>
      </c>
      <c r="X49" s="56">
        <f t="shared" si="10"/>
        <v>-1025364</v>
      </c>
      <c r="Y49" s="56">
        <f t="shared" si="10"/>
        <v>-482359</v>
      </c>
      <c r="Z49" s="18"/>
    </row>
    <row r="50" spans="1:26">
      <c r="A50" s="103"/>
      <c r="B50" s="2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Z50" s="18"/>
    </row>
    <row r="51" spans="1:26">
      <c r="A51" s="106" t="s">
        <v>157</v>
      </c>
      <c r="B51" s="27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18"/>
    </row>
    <row r="52" spans="1:26">
      <c r="A52" s="12" t="s">
        <v>158</v>
      </c>
      <c r="B52" s="27"/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1126</v>
      </c>
      <c r="L52" s="3">
        <v>1126</v>
      </c>
      <c r="M52" s="3">
        <v>0</v>
      </c>
      <c r="N52" s="3">
        <v>0</v>
      </c>
      <c r="O52" s="3">
        <v>0</v>
      </c>
      <c r="P52" s="3">
        <v>-6731</v>
      </c>
      <c r="Q52" s="3">
        <f t="shared" si="0"/>
        <v>0</v>
      </c>
      <c r="R52" s="3">
        <v>0</v>
      </c>
      <c r="S52" s="3">
        <v>-6731</v>
      </c>
      <c r="T52" s="3">
        <v>0</v>
      </c>
      <c r="U52" s="3">
        <v>-77</v>
      </c>
      <c r="V52" s="3">
        <f>U52-SUM(W52:Y52)</f>
        <v>-1024</v>
      </c>
      <c r="W52" s="3">
        <v>0</v>
      </c>
      <c r="X52" s="3">
        <v>947</v>
      </c>
      <c r="Y52" s="3">
        <v>0</v>
      </c>
      <c r="Z52" s="18"/>
    </row>
    <row r="53" spans="1:26">
      <c r="A53" s="69" t="s">
        <v>159</v>
      </c>
      <c r="B53" s="27"/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-688910</v>
      </c>
      <c r="L53" s="3">
        <f>-688910+688910</f>
        <v>0</v>
      </c>
      <c r="M53" s="3">
        <v>-688910</v>
      </c>
      <c r="N53" s="3">
        <v>0</v>
      </c>
      <c r="O53" s="3">
        <v>0</v>
      </c>
      <c r="P53" s="3">
        <v>-595053</v>
      </c>
      <c r="Q53" s="3">
        <f t="shared" si="0"/>
        <v>0</v>
      </c>
      <c r="R53" s="3">
        <v>-595053</v>
      </c>
      <c r="S53" s="3">
        <v>0</v>
      </c>
      <c r="T53" s="3">
        <v>0</v>
      </c>
      <c r="U53" s="3">
        <v>-520696</v>
      </c>
      <c r="V53" s="3">
        <f>U53-SUM(W53:Y53)</f>
        <v>0</v>
      </c>
      <c r="W53" s="3">
        <v>-520696</v>
      </c>
      <c r="X53" s="66"/>
      <c r="Y53" s="66"/>
      <c r="Z53" s="18"/>
    </row>
    <row r="54" spans="1:26">
      <c r="A54" s="69" t="s">
        <v>160</v>
      </c>
      <c r="B54" s="27"/>
      <c r="C54" s="3">
        <v>0</v>
      </c>
      <c r="D54" s="3">
        <v>-46950</v>
      </c>
      <c r="E54" s="3">
        <v>0</v>
      </c>
      <c r="F54" s="3">
        <v>0</v>
      </c>
      <c r="G54" s="3">
        <v>-44461</v>
      </c>
      <c r="H54" s="3">
        <v>-2489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66"/>
      <c r="Y54" s="66"/>
      <c r="Z54" s="18"/>
    </row>
    <row r="55" spans="1:26">
      <c r="A55" s="69" t="s">
        <v>161</v>
      </c>
      <c r="B55" s="27"/>
      <c r="C55" s="3">
        <v>0</v>
      </c>
      <c r="D55" s="3">
        <v>11927</v>
      </c>
      <c r="E55" s="3">
        <v>0</v>
      </c>
      <c r="F55" s="3">
        <v>11927</v>
      </c>
      <c r="G55" s="3">
        <v>0</v>
      </c>
      <c r="H55" s="66">
        <v>0</v>
      </c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18"/>
    </row>
    <row r="56" spans="1:26">
      <c r="A56" s="103" t="s">
        <v>157</v>
      </c>
      <c r="B56" s="27"/>
      <c r="C56" s="56">
        <v>0</v>
      </c>
      <c r="D56" s="56">
        <v>-35023</v>
      </c>
      <c r="E56" s="56">
        <v>0</v>
      </c>
      <c r="F56" s="56">
        <v>11927</v>
      </c>
      <c r="G56" s="56">
        <v>-44461</v>
      </c>
      <c r="H56" s="56">
        <v>-2489</v>
      </c>
      <c r="I56" s="56">
        <f>SUM(I52:I53)</f>
        <v>0</v>
      </c>
      <c r="J56" s="56">
        <f>SUM(J52:J53)</f>
        <v>0</v>
      </c>
      <c r="K56" s="56">
        <f t="shared" ref="K56:P56" si="11">SUM(K52:K53)</f>
        <v>-687784</v>
      </c>
      <c r="L56" s="56">
        <f t="shared" si="11"/>
        <v>1126</v>
      </c>
      <c r="M56" s="56">
        <f t="shared" si="11"/>
        <v>-688910</v>
      </c>
      <c r="N56" s="56">
        <f t="shared" si="11"/>
        <v>0</v>
      </c>
      <c r="O56" s="56">
        <f t="shared" si="11"/>
        <v>0</v>
      </c>
      <c r="P56" s="56">
        <f t="shared" si="11"/>
        <v>-601784</v>
      </c>
      <c r="Q56" s="56">
        <f t="shared" si="0"/>
        <v>0</v>
      </c>
      <c r="R56" s="56">
        <v>-595053</v>
      </c>
      <c r="S56" s="56">
        <f t="shared" ref="S56:Y56" si="12">SUM(S52:S53)</f>
        <v>-6731</v>
      </c>
      <c r="T56" s="56">
        <f t="shared" si="12"/>
        <v>0</v>
      </c>
      <c r="U56" s="56">
        <f t="shared" si="12"/>
        <v>-520773</v>
      </c>
      <c r="V56" s="56">
        <f t="shared" si="12"/>
        <v>-1024</v>
      </c>
      <c r="W56" s="56">
        <f t="shared" si="12"/>
        <v>-520696</v>
      </c>
      <c r="X56" s="56">
        <f t="shared" si="12"/>
        <v>947</v>
      </c>
      <c r="Y56" s="56">
        <f t="shared" si="12"/>
        <v>0</v>
      </c>
      <c r="Z56" s="18"/>
    </row>
    <row r="57" spans="1:26">
      <c r="A57" s="14"/>
      <c r="B57" s="2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Z57" s="18"/>
    </row>
    <row r="58" spans="1:26">
      <c r="A58" s="14" t="s">
        <v>162</v>
      </c>
      <c r="B58" s="27"/>
      <c r="C58" s="85">
        <v>-728</v>
      </c>
      <c r="D58" s="3">
        <v>-4745</v>
      </c>
      <c r="E58" s="3">
        <v>1815</v>
      </c>
      <c r="F58" s="3">
        <v>300</v>
      </c>
      <c r="G58" s="3">
        <v>3345</v>
      </c>
      <c r="H58" s="3">
        <v>-10205</v>
      </c>
      <c r="I58" s="3">
        <f>-10321-(-10051)</f>
        <v>-270</v>
      </c>
      <c r="J58" s="3">
        <v>-10051</v>
      </c>
      <c r="K58" s="3">
        <v>11460</v>
      </c>
      <c r="L58" s="3">
        <v>6928</v>
      </c>
      <c r="M58" s="3">
        <f>4532-(-4027)</f>
        <v>8559</v>
      </c>
      <c r="N58" s="3">
        <f>-4027-(-173)</f>
        <v>-3854</v>
      </c>
      <c r="O58" s="3">
        <v>-173</v>
      </c>
      <c r="P58" s="3">
        <v>17075</v>
      </c>
      <c r="Q58" s="3">
        <f t="shared" si="0"/>
        <v>11973</v>
      </c>
      <c r="R58" s="3">
        <v>-258</v>
      </c>
      <c r="S58" s="3">
        <v>-747</v>
      </c>
      <c r="T58" s="3">
        <v>6107</v>
      </c>
      <c r="U58" s="3">
        <v>-29630</v>
      </c>
      <c r="V58" s="3">
        <f>U58-SUM(W58:Y58)</f>
        <v>-24361</v>
      </c>
      <c r="W58" s="3">
        <v>-154</v>
      </c>
      <c r="X58" s="3">
        <v>-1408</v>
      </c>
      <c r="Y58" s="3">
        <v>-3707</v>
      </c>
      <c r="Z58" s="18"/>
    </row>
    <row r="59" spans="1:26">
      <c r="A59" s="14"/>
      <c r="B59" s="2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18"/>
    </row>
    <row r="60" spans="1:26">
      <c r="A60" s="14" t="s">
        <v>163</v>
      </c>
      <c r="B60" s="16"/>
      <c r="C60" s="3">
        <v>208666</v>
      </c>
      <c r="D60" s="3">
        <v>-347544</v>
      </c>
      <c r="E60" s="3">
        <v>206379</v>
      </c>
      <c r="F60" s="3">
        <v>-206462</v>
      </c>
      <c r="G60" s="3">
        <v>20657</v>
      </c>
      <c r="H60" s="3">
        <v>-368118</v>
      </c>
      <c r="I60" s="3">
        <f t="shared" ref="E60:I60" si="13">I29+I49+I56+I58</f>
        <v>-143374</v>
      </c>
      <c r="J60" s="3">
        <f t="shared" ref="J60:O60" si="14">J29+J49+J56+J58</f>
        <v>317921</v>
      </c>
      <c r="K60" s="3">
        <f t="shared" si="14"/>
        <v>-1158489</v>
      </c>
      <c r="L60" s="3">
        <f t="shared" si="14"/>
        <v>-106490</v>
      </c>
      <c r="M60" s="3">
        <f t="shared" si="14"/>
        <v>-876231</v>
      </c>
      <c r="N60" s="3">
        <f t="shared" si="14"/>
        <v>641002</v>
      </c>
      <c r="O60" s="3">
        <f t="shared" si="14"/>
        <v>-816770</v>
      </c>
      <c r="P60" s="3">
        <f t="shared" ref="P60:U60" si="15">P29+P49+P56+P58</f>
        <v>-386073</v>
      </c>
      <c r="Q60" s="3">
        <f t="shared" si="15"/>
        <v>-165813</v>
      </c>
      <c r="R60" s="3">
        <f t="shared" si="15"/>
        <v>-638283</v>
      </c>
      <c r="S60" s="3">
        <f t="shared" si="15"/>
        <v>508193</v>
      </c>
      <c r="T60" s="3">
        <f t="shared" si="15"/>
        <v>-90170</v>
      </c>
      <c r="U60" s="3">
        <f t="shared" si="15"/>
        <v>-558219</v>
      </c>
      <c r="V60" s="3">
        <f>U60-SUM(W60:Y60)</f>
        <v>209261</v>
      </c>
      <c r="W60" s="3">
        <f>W29+W49+W56+W58</f>
        <v>-252743</v>
      </c>
      <c r="X60" s="3">
        <f>X29+X49+X56+X58</f>
        <v>-658506</v>
      </c>
      <c r="Y60" s="3">
        <f>Y29+Y49+Y56+Y58</f>
        <v>143769</v>
      </c>
      <c r="Z60" s="17"/>
    </row>
    <row r="61" spans="1:26">
      <c r="A61" s="14"/>
      <c r="B61" s="1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6">
      <c r="A62" s="14" t="s">
        <v>164</v>
      </c>
      <c r="B62" s="16"/>
      <c r="C62" s="3">
        <v>707736</v>
      </c>
      <c r="D62" s="3">
        <v>1055280</v>
      </c>
      <c r="E62" s="3">
        <v>501357</v>
      </c>
      <c r="F62" s="3">
        <v>707819</v>
      </c>
      <c r="G62" s="3">
        <v>687162</v>
      </c>
      <c r="H62" s="3">
        <v>1055280</v>
      </c>
      <c r="I62" s="3">
        <f>J64</f>
        <v>736799</v>
      </c>
      <c r="J62" s="3">
        <f>K64</f>
        <v>418878</v>
      </c>
      <c r="K62" s="3">
        <f>P64</f>
        <v>1577367</v>
      </c>
      <c r="L62" s="3">
        <f>M64</f>
        <v>525368</v>
      </c>
      <c r="M62" s="3">
        <f>N64</f>
        <v>1401599</v>
      </c>
      <c r="N62" s="3">
        <f>O64</f>
        <v>760597</v>
      </c>
      <c r="O62" s="3">
        <f>P64</f>
        <v>1577367</v>
      </c>
      <c r="P62" s="3">
        <f>T62</f>
        <v>1963440</v>
      </c>
      <c r="Q62" s="3">
        <f>R64</f>
        <v>1743180</v>
      </c>
      <c r="R62" s="3">
        <f>S64</f>
        <v>2381463</v>
      </c>
      <c r="S62" s="3">
        <v>1873270</v>
      </c>
      <c r="T62" s="3">
        <v>1963440</v>
      </c>
      <c r="U62" s="3">
        <f>Y62</f>
        <v>2521659</v>
      </c>
      <c r="V62" s="3">
        <f>W64</f>
        <v>1754179</v>
      </c>
      <c r="W62" s="3">
        <v>2006922</v>
      </c>
      <c r="X62" s="3">
        <v>2665428</v>
      </c>
      <c r="Y62" s="3">
        <v>2521659</v>
      </c>
    </row>
    <row r="63" spans="1:26">
      <c r="B63" s="16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3"/>
      <c r="R63" s="57"/>
      <c r="S63" s="57"/>
      <c r="T63" s="57"/>
      <c r="U63" s="57"/>
      <c r="V63" s="57"/>
      <c r="W63" s="3"/>
      <c r="X63" s="3"/>
      <c r="Y63" s="3"/>
    </row>
    <row r="64" spans="1:26" ht="16.5" thickBot="1">
      <c r="A64" s="103" t="s">
        <v>165</v>
      </c>
      <c r="B64" s="16"/>
      <c r="C64" s="58">
        <v>916402</v>
      </c>
      <c r="D64" s="58">
        <v>707736</v>
      </c>
      <c r="E64" s="58">
        <v>707736</v>
      </c>
      <c r="F64" s="58">
        <v>501357</v>
      </c>
      <c r="G64" s="58">
        <v>707819</v>
      </c>
      <c r="H64" s="58">
        <v>687162</v>
      </c>
      <c r="I64" s="58">
        <f t="shared" ref="I64:N64" si="16">I60+I62</f>
        <v>593425</v>
      </c>
      <c r="J64" s="58">
        <f t="shared" si="16"/>
        <v>736799</v>
      </c>
      <c r="K64" s="58">
        <f t="shared" si="16"/>
        <v>418878</v>
      </c>
      <c r="L64" s="58">
        <f t="shared" si="16"/>
        <v>418878</v>
      </c>
      <c r="M64" s="58">
        <f t="shared" si="16"/>
        <v>525368</v>
      </c>
      <c r="N64" s="58">
        <f t="shared" si="16"/>
        <v>1401599</v>
      </c>
      <c r="O64" s="58">
        <f t="shared" ref="O64:T64" si="17">O60+O62</f>
        <v>760597</v>
      </c>
      <c r="P64" s="58">
        <f t="shared" si="17"/>
        <v>1577367</v>
      </c>
      <c r="Q64" s="58">
        <f t="shared" si="17"/>
        <v>1577367</v>
      </c>
      <c r="R64" s="58">
        <f t="shared" si="17"/>
        <v>1743180</v>
      </c>
      <c r="S64" s="58">
        <f t="shared" si="17"/>
        <v>2381463</v>
      </c>
      <c r="T64" s="58">
        <f t="shared" si="17"/>
        <v>1873270</v>
      </c>
      <c r="U64" s="58">
        <f>-U60+U62</f>
        <v>3079878</v>
      </c>
      <c r="V64" s="58">
        <f>V60+V62</f>
        <v>1963440</v>
      </c>
      <c r="W64" s="58">
        <v>1754179</v>
      </c>
      <c r="X64" s="58">
        <f>X62+X60</f>
        <v>2006922</v>
      </c>
      <c r="Y64" s="58">
        <f>Y60+Y62</f>
        <v>2665428</v>
      </c>
    </row>
    <row r="65" spans="1:22" ht="16.5" thickTop="1">
      <c r="A65" s="55"/>
      <c r="B65" s="16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</row>
    <row r="66" spans="1:22">
      <c r="B66" s="20"/>
      <c r="U66" s="12"/>
      <c r="V66" s="12"/>
    </row>
    <row r="67" spans="1:22">
      <c r="B67" s="16"/>
    </row>
  </sheetData>
  <sheetProtection sheet="1" objects="1" scenarios="1"/>
  <customSheetViews>
    <customSheetView guid="{6CC4FA47-4F74-48A0-8033-8683B05A3BC4}" topLeftCell="A7">
      <selection activeCell="A17" sqref="A17"/>
      <pageMargins left="0.7" right="0.7" top="0.75" bottom="0.75" header="0.3" footer="0.3"/>
      <pageSetup paperSize="9" orientation="portrait" r:id="rId1"/>
    </customSheetView>
    <customSheetView guid="{293A8923-ED08-4701-85A2-A97D5F3D44EF}" hiddenColumns="1">
      <selection activeCell="C10" sqref="C10"/>
      <pageMargins left="0.7" right="0.7" top="0.75" bottom="0.75" header="0.3" footer="0.3"/>
      <pageSetup paperSize="9" orientation="portrait" r:id="rId2"/>
    </customSheetView>
  </customSheetViews>
  <phoneticPr fontId="1" type="noConversion"/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年度簡明合併損益表</vt:lpstr>
      <vt:lpstr>Quarterly Income Statement</vt:lpstr>
      <vt:lpstr>Quarterly Balance Sheet  </vt:lpstr>
      <vt:lpstr>Quarterly Cashflow Statement</vt:lpstr>
      <vt:lpstr>'Quarterly Balance Sheet 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唐婕</dc:creator>
  <cp:lastModifiedBy>楊珺涵</cp:lastModifiedBy>
  <cp:lastPrinted>2014-10-28T07:41:45Z</cp:lastPrinted>
  <dcterms:created xsi:type="dcterms:W3CDTF">2011-08-30T06:17:53Z</dcterms:created>
  <dcterms:modified xsi:type="dcterms:W3CDTF">2018-05-15T06:50:24Z</dcterms:modified>
</cp:coreProperties>
</file>