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570" windowWidth="11475" windowHeight="7395" firstSheet="1" activeTab="3"/>
  </bookViews>
  <sheets>
    <sheet name="年度簡明合併損益表" sheetId="9" state="hidden" r:id="rId1"/>
    <sheet name="季度簡明合併損益表" sheetId="2" r:id="rId2"/>
    <sheet name="簡明年度合併資產負債表 " sheetId="6" state="hidden" r:id="rId3"/>
    <sheet name="簡明合併資產負債表" sheetId="3" r:id="rId4"/>
    <sheet name="簡明現金流量變動表" sheetId="4" r:id="rId5"/>
  </sheets>
  <externalReferences>
    <externalReference r:id="rId6"/>
  </externalReferences>
  <definedNames>
    <definedName name="_xlnm.Print_Area" localSheetId="1">季度簡明合併損益表!$A$1:$BO$24</definedName>
    <definedName name="_xlnm.Print_Area" localSheetId="3">簡明合併資產負債表!$A$1:$BB$55</definedName>
    <definedName name="_xlnm.Print_Area" localSheetId="2">'簡明年度合併資產負債表 '!$A$1:$K$47</definedName>
    <definedName name="Z_293A8923_ED08_4701_85A2_A97D5F3D44EF_.wvu.Cols" localSheetId="1" hidden="1">季度簡明合併損益表!$AL:$AO,季度簡明合併損益表!$AR:$BO</definedName>
    <definedName name="Z_293A8923_ED08_4701_85A2_A97D5F3D44EF_.wvu.Cols" localSheetId="3" hidden="1">簡明合併資產負債表!$AL:$AO,簡明合併資產負債表!$AQ:$BT</definedName>
    <definedName name="Z_293A8923_ED08_4701_85A2_A97D5F3D44EF_.wvu.Cols" localSheetId="2" hidden="1">'簡明年度合併資產負債表 '!#REF!,'簡明年度合併資產負債表 '!#REF!</definedName>
    <definedName name="Z_293A8923_ED08_4701_85A2_A97D5F3D44EF_.wvu.Cols" localSheetId="4" hidden="1">簡明現金流量變動表!$AB:$AC,簡明現金流量變動表!$AF:$AT</definedName>
    <definedName name="Z_293A8923_ED08_4701_85A2_A97D5F3D44EF_.wvu.PrintArea" localSheetId="1" hidden="1">季度簡明合併損益表!$A$1:$BO$24</definedName>
    <definedName name="Z_293A8923_ED08_4701_85A2_A97D5F3D44EF_.wvu.PrintArea" localSheetId="3" hidden="1">簡明合併資產負債表!$A$1:$BB$55</definedName>
    <definedName name="Z_293A8923_ED08_4701_85A2_A97D5F3D44EF_.wvu.PrintArea" localSheetId="2" hidden="1">'簡明年度合併資產負債表 '!$A$1:$K$47</definedName>
    <definedName name="Z_293A8923_ED08_4701_85A2_A97D5F3D44EF_.wvu.Rows" localSheetId="1" hidden="1">季度簡明合併損益表!$25:$26</definedName>
    <definedName name="Z_293A8923_ED08_4701_85A2_A97D5F3D44EF_.wvu.Rows" localSheetId="3" hidden="1">簡明合併資產負債表!$35:$56</definedName>
    <definedName name="Z_293A8923_ED08_4701_85A2_A97D5F3D44EF_.wvu.Rows" localSheetId="2" hidden="1">'簡明年度合併資產負債表 '!$27:$48</definedName>
    <definedName name="Z_6CC4FA47_4F74_48A0_8033_8683B05A3BC4_.wvu.PrintArea" localSheetId="1" hidden="1">季度簡明合併損益表!$A$1:$BO$24</definedName>
  </definedNames>
  <calcPr calcId="145621"/>
  <customWorkbookViews>
    <customWorkbookView name="Cynthia Lee - 個人檢視畫面" guid="{6CC4FA47-4F74-48A0-8033-8683B05A3BC4}" mergeInterval="0" personalView="1" maximized="1" xWindow="50" yWindow="53" windowWidth="966" windowHeight="472" activeSheetId="2" showComments="commIndAndComment"/>
    <customWorkbookView name="黃惠嫆 - 個人檢視畫面" guid="{293A8923-ED08-4701-85A2-A97D5F3D44EF}" mergeInterval="0" personalView="1" maximized="1" windowWidth="1916" windowHeight="742" activeSheetId="4"/>
  </customWorkbookViews>
</workbook>
</file>

<file path=xl/calcChain.xml><?xml version="1.0" encoding="utf-8"?>
<calcChain xmlns="http://schemas.openxmlformats.org/spreadsheetml/2006/main">
  <c r="C60" i="4" l="1"/>
  <c r="C50" i="4"/>
  <c r="C24" i="4"/>
  <c r="C29" i="4" s="1"/>
  <c r="C64" i="4" l="1"/>
  <c r="B33" i="3" l="1"/>
  <c r="B32" i="3"/>
  <c r="B48" i="3" s="1"/>
  <c r="B16" i="3"/>
  <c r="B12" i="3"/>
  <c r="B10" i="3"/>
  <c r="B9" i="3"/>
  <c r="B7" i="3"/>
  <c r="B4" i="3"/>
  <c r="B47" i="3"/>
  <c r="B46" i="3"/>
  <c r="B34" i="3"/>
  <c r="B25" i="3" s="1"/>
  <c r="B22" i="3"/>
  <c r="B18" i="3"/>
  <c r="C12" i="2"/>
  <c r="C5" i="2"/>
  <c r="BR16" i="2"/>
  <c r="BR15" i="2"/>
  <c r="BR14" i="2"/>
  <c r="BR13" i="2"/>
  <c r="BR12" i="2"/>
  <c r="BR11" i="2"/>
  <c r="BR10" i="2"/>
  <c r="BR9" i="2"/>
  <c r="BR8" i="2"/>
  <c r="BR7" i="2"/>
  <c r="BR5" i="2"/>
  <c r="BR4" i="2"/>
  <c r="BQ16" i="2"/>
  <c r="BQ15" i="2"/>
  <c r="BQ14" i="2"/>
  <c r="BQ13" i="2"/>
  <c r="BQ12" i="2"/>
  <c r="BQ11" i="2"/>
  <c r="BQ10" i="2"/>
  <c r="BQ9" i="2"/>
  <c r="BQ8" i="2"/>
  <c r="BQ7" i="2"/>
  <c r="BQ5" i="2"/>
  <c r="BQ4" i="2"/>
  <c r="BR3" i="2"/>
  <c r="BQ3" i="2"/>
  <c r="B21" i="2"/>
  <c r="B16" i="2"/>
  <c r="B14" i="2"/>
  <c r="B12" i="2"/>
  <c r="B11" i="2"/>
  <c r="B5" i="2"/>
  <c r="B49" i="3" l="1"/>
  <c r="B39" i="3"/>
  <c r="B41" i="3" s="1"/>
  <c r="B27" i="3"/>
  <c r="B8" i="3"/>
  <c r="B13" i="3" s="1"/>
  <c r="B46" i="6"/>
  <c r="B47" i="6" s="1"/>
  <c r="B45" i="6"/>
  <c r="B44" i="6"/>
  <c r="B41" i="6"/>
  <c r="B39" i="6"/>
  <c r="B24" i="6" s="1"/>
  <c r="B38" i="6"/>
  <c r="B37" i="6"/>
  <c r="B30" i="6"/>
  <c r="B32" i="6" s="1"/>
  <c r="B23" i="6" s="1"/>
  <c r="B25" i="6"/>
  <c r="B16" i="6"/>
  <c r="B18" i="6" s="1"/>
  <c r="B12" i="6"/>
  <c r="B10" i="6"/>
  <c r="B9" i="6"/>
  <c r="B7" i="6"/>
  <c r="B4" i="6"/>
  <c r="B8" i="6" s="1"/>
  <c r="B13" i="6" s="1"/>
  <c r="B40" i="3" l="1"/>
  <c r="B26" i="3"/>
  <c r="B43" i="3"/>
  <c r="B31" i="6"/>
  <c r="I48" i="4"/>
  <c r="D34" i="3" l="1"/>
  <c r="D33" i="3"/>
  <c r="D32" i="3"/>
  <c r="D39" i="3"/>
  <c r="D41" i="3" s="1"/>
  <c r="D26" i="3" s="1"/>
  <c r="D16" i="3"/>
  <c r="D12" i="3"/>
  <c r="D10" i="3"/>
  <c r="D9" i="3"/>
  <c r="D7" i="3"/>
  <c r="D4" i="3"/>
  <c r="D47" i="3"/>
  <c r="D46" i="3"/>
  <c r="D22" i="3"/>
  <c r="D18" i="3"/>
  <c r="D8" i="3"/>
  <c r="D48" i="3" l="1"/>
  <c r="D49" i="3" s="1"/>
  <c r="D25" i="3"/>
  <c r="D43" i="3"/>
  <c r="D13" i="3"/>
  <c r="D27" i="3"/>
  <c r="D40" i="3"/>
  <c r="F47" i="4" l="1"/>
  <c r="F32" i="3"/>
  <c r="F34" i="3" s="1"/>
  <c r="F25" i="3" s="1"/>
  <c r="F47" i="3"/>
  <c r="F46" i="3"/>
  <c r="F43" i="3"/>
  <c r="F39" i="3"/>
  <c r="F41" i="3" s="1"/>
  <c r="F26" i="3" s="1"/>
  <c r="F33" i="3"/>
  <c r="F48" i="3"/>
  <c r="F49" i="3" s="1"/>
  <c r="F27" i="3"/>
  <c r="H47" i="3"/>
  <c r="H46" i="3"/>
  <c r="H39" i="3"/>
  <c r="H41" i="3" s="1"/>
  <c r="H26" i="3" s="1"/>
  <c r="H32" i="3"/>
  <c r="H34" i="3" s="1"/>
  <c r="H25" i="3" s="1"/>
  <c r="H22" i="3"/>
  <c r="H18" i="3"/>
  <c r="H16" i="3"/>
  <c r="H12" i="3"/>
  <c r="H10" i="3"/>
  <c r="H9" i="3"/>
  <c r="H7" i="3"/>
  <c r="H4" i="3"/>
  <c r="H8" i="3" s="1"/>
  <c r="F40" i="3" l="1"/>
  <c r="H43" i="3"/>
  <c r="H13" i="3"/>
  <c r="H27" i="3"/>
  <c r="H40" i="3"/>
  <c r="H33" i="3"/>
  <c r="H48" i="3"/>
  <c r="H49" i="3" s="1"/>
  <c r="F22" i="3" l="1"/>
  <c r="F16" i="3"/>
  <c r="F18" i="3"/>
  <c r="F13" i="3"/>
  <c r="F12" i="3"/>
  <c r="F10" i="3"/>
  <c r="F9" i="3"/>
  <c r="F7" i="3"/>
  <c r="F4" i="3"/>
  <c r="F8" i="3"/>
  <c r="L55" i="4" l="1"/>
  <c r="L54" i="4"/>
  <c r="L9" i="4"/>
  <c r="L16" i="4"/>
  <c r="G62" i="4" l="1"/>
  <c r="G55" i="4"/>
  <c r="G54" i="4"/>
  <c r="G53" i="4"/>
  <c r="G44" i="4"/>
  <c r="G46" i="4"/>
  <c r="G45" i="4"/>
  <c r="G43" i="4"/>
  <c r="G37" i="4"/>
  <c r="G28" i="4"/>
  <c r="G27" i="4"/>
  <c r="G26" i="4"/>
  <c r="G25" i="4"/>
  <c r="G21" i="4"/>
  <c r="G16" i="4"/>
  <c r="G15" i="4"/>
  <c r="G14" i="4"/>
  <c r="G13" i="4"/>
  <c r="G12" i="4"/>
  <c r="G11" i="4"/>
  <c r="G10" i="4"/>
  <c r="G8" i="4"/>
  <c r="G7" i="4"/>
  <c r="G6" i="4"/>
  <c r="G4" i="4"/>
  <c r="F62" i="4" l="1"/>
  <c r="F7" i="4"/>
  <c r="F45" i="4"/>
  <c r="F54" i="4"/>
  <c r="F12" i="4"/>
  <c r="F13" i="4"/>
  <c r="F46" i="4"/>
  <c r="F55" i="4"/>
  <c r="F16" i="4"/>
  <c r="F8" i="4"/>
  <c r="F4" i="4"/>
  <c r="F25" i="4"/>
  <c r="F44" i="4"/>
  <c r="F27" i="4"/>
  <c r="F21" i="4"/>
  <c r="F28" i="4"/>
  <c r="F10" i="4"/>
  <c r="F14" i="4"/>
  <c r="F37" i="4"/>
  <c r="F6" i="4"/>
  <c r="F11" i="4"/>
  <c r="F15" i="4"/>
  <c r="F26" i="4"/>
  <c r="F43" i="4"/>
  <c r="F53" i="4"/>
  <c r="F50" i="4" l="1"/>
  <c r="J32" i="3"/>
  <c r="J22" i="3" l="1"/>
  <c r="J16" i="3"/>
  <c r="J18" i="3" s="1"/>
  <c r="J12" i="3"/>
  <c r="J10" i="3"/>
  <c r="J9" i="3"/>
  <c r="J7" i="3"/>
  <c r="J8" i="3" s="1"/>
  <c r="J4" i="3"/>
  <c r="J48" i="3"/>
  <c r="J47" i="3"/>
  <c r="J46" i="3"/>
  <c r="J39" i="3"/>
  <c r="J34" i="3"/>
  <c r="J25" i="3" s="1"/>
  <c r="L4" i="3"/>
  <c r="L5" i="3"/>
  <c r="L7" i="3"/>
  <c r="L8" i="3"/>
  <c r="L13" i="3" s="1"/>
  <c r="L9" i="3"/>
  <c r="L10" i="3"/>
  <c r="L12" i="3"/>
  <c r="L16" i="3"/>
  <c r="L18" i="3"/>
  <c r="L32" i="3"/>
  <c r="L33" i="3" s="1"/>
  <c r="L46" i="3"/>
  <c r="L38" i="3"/>
  <c r="L47" i="3"/>
  <c r="L39" i="3" l="1"/>
  <c r="L41" i="3" s="1"/>
  <c r="L26" i="3" s="1"/>
  <c r="L27" i="3"/>
  <c r="L34" i="3"/>
  <c r="L25" i="3" s="1"/>
  <c r="J49" i="3"/>
  <c r="J13" i="3"/>
  <c r="J43" i="3"/>
  <c r="J41" i="3"/>
  <c r="J26" i="3" s="1"/>
  <c r="J40" i="3"/>
  <c r="J27" i="3"/>
  <c r="L43" i="3"/>
  <c r="L48" i="3"/>
  <c r="L49" i="3" s="1"/>
  <c r="J33" i="3"/>
  <c r="BJ49" i="3"/>
  <c r="BB49" i="3"/>
  <c r="BN48" i="3"/>
  <c r="AZ48" i="3"/>
  <c r="BN47" i="3"/>
  <c r="AZ47" i="3"/>
  <c r="AX49" i="3" s="1"/>
  <c r="AV47" i="3"/>
  <c r="AT47" i="3"/>
  <c r="AR47" i="3"/>
  <c r="AP47" i="3"/>
  <c r="AN47" i="3"/>
  <c r="AL47" i="3"/>
  <c r="AJ47" i="3"/>
  <c r="AH47" i="3"/>
  <c r="AB47" i="3"/>
  <c r="X47" i="3"/>
  <c r="T47" i="3"/>
  <c r="R47" i="3"/>
  <c r="P47" i="3"/>
  <c r="N47" i="3"/>
  <c r="BN46" i="3"/>
  <c r="AV46" i="3"/>
  <c r="AT46" i="3"/>
  <c r="AR46" i="3"/>
  <c r="AP46" i="3"/>
  <c r="AN46" i="3"/>
  <c r="AL46" i="3"/>
  <c r="AJ46" i="3"/>
  <c r="AH46" i="3"/>
  <c r="AF46" i="3"/>
  <c r="AD46" i="3"/>
  <c r="AB46" i="3"/>
  <c r="Z46" i="3"/>
  <c r="X46" i="3"/>
  <c r="V46" i="3"/>
  <c r="T46" i="3"/>
  <c r="R46" i="3"/>
  <c r="P46" i="3"/>
  <c r="N46" i="3"/>
  <c r="BN43" i="3"/>
  <c r="BJ43" i="3"/>
  <c r="BH43" i="3"/>
  <c r="BB43" i="3"/>
  <c r="BL41" i="3"/>
  <c r="BJ40" i="3"/>
  <c r="BJ26" i="3" s="1"/>
  <c r="BH40" i="3"/>
  <c r="BF40" i="3"/>
  <c r="BD40" i="3"/>
  <c r="BB40" i="3"/>
  <c r="AX40" i="3"/>
  <c r="BN39" i="3"/>
  <c r="BN40" i="3" s="1"/>
  <c r="AZ39" i="3"/>
  <c r="BL38" i="3"/>
  <c r="BJ38" i="3"/>
  <c r="BJ41" i="3" s="1"/>
  <c r="BI38" i="3"/>
  <c r="BH38" i="3"/>
  <c r="BF38" i="3"/>
  <c r="BD38" i="3"/>
  <c r="BD41" i="3" s="1"/>
  <c r="BD26" i="3" s="1"/>
  <c r="BB38" i="3"/>
  <c r="BA38" i="3"/>
  <c r="AZ38" i="3"/>
  <c r="AX38" i="3"/>
  <c r="AX41" i="3" s="1"/>
  <c r="AX26" i="3" s="1"/>
  <c r="AT38" i="3"/>
  <c r="P38" i="3"/>
  <c r="N38" i="3"/>
  <c r="AV37" i="3"/>
  <c r="AT37" i="3"/>
  <c r="AL37" i="3"/>
  <c r="AZ36" i="3"/>
  <c r="BL34" i="3"/>
  <c r="BL25" i="3" s="1"/>
  <c r="BJ34" i="3"/>
  <c r="BJ25" i="3" s="1"/>
  <c r="BH34" i="3"/>
  <c r="BH25" i="3" s="1"/>
  <c r="BD34" i="3"/>
  <c r="BD25" i="3" s="1"/>
  <c r="BB34" i="3"/>
  <c r="AP34" i="3"/>
  <c r="AP25" i="3" s="1"/>
  <c r="Z34" i="3"/>
  <c r="Z25" i="3" s="1"/>
  <c r="BJ33" i="3"/>
  <c r="BH33" i="3"/>
  <c r="BD33" i="3"/>
  <c r="BB33" i="3"/>
  <c r="AX33" i="3"/>
  <c r="BN32" i="3"/>
  <c r="BN34" i="3" s="1"/>
  <c r="BN25" i="3" s="1"/>
  <c r="BF32" i="3"/>
  <c r="BF33" i="3" s="1"/>
  <c r="AX32" i="3"/>
  <c r="AX34" i="3" s="1"/>
  <c r="AX25" i="3" s="1"/>
  <c r="AV32" i="3"/>
  <c r="AV39" i="3" s="1"/>
  <c r="AT32" i="3"/>
  <c r="AT39" i="3" s="1"/>
  <c r="AR32" i="3"/>
  <c r="AR48" i="3" s="1"/>
  <c r="AP32" i="3"/>
  <c r="AP48" i="3" s="1"/>
  <c r="AN32" i="3"/>
  <c r="AN39" i="3" s="1"/>
  <c r="AL32" i="3"/>
  <c r="AL39" i="3" s="1"/>
  <c r="AJ32" i="3"/>
  <c r="AJ48" i="3" s="1"/>
  <c r="AH32" i="3"/>
  <c r="AH48" i="3" s="1"/>
  <c r="AF32" i="3"/>
  <c r="AF39" i="3" s="1"/>
  <c r="AD32" i="3"/>
  <c r="AD39" i="3" s="1"/>
  <c r="AB32" i="3"/>
  <c r="AB48" i="3" s="1"/>
  <c r="Z32" i="3"/>
  <c r="Z48" i="3" s="1"/>
  <c r="X32" i="3"/>
  <c r="X39" i="3" s="1"/>
  <c r="V32" i="3"/>
  <c r="V39" i="3" s="1"/>
  <c r="T32" i="3"/>
  <c r="T48" i="3" s="1"/>
  <c r="R32" i="3"/>
  <c r="R48" i="3" s="1"/>
  <c r="P32" i="3"/>
  <c r="P39" i="3" s="1"/>
  <c r="N32" i="3"/>
  <c r="N39" i="3" s="1"/>
  <c r="BN30" i="3"/>
  <c r="AV30" i="3"/>
  <c r="AT30" i="3"/>
  <c r="R30" i="3"/>
  <c r="R33" i="3" s="1"/>
  <c r="AZ29" i="3"/>
  <c r="AZ34" i="3" s="1"/>
  <c r="AZ25" i="3" s="1"/>
  <c r="BF27" i="3"/>
  <c r="BL26" i="3"/>
  <c r="BB25" i="3"/>
  <c r="BN18" i="3"/>
  <c r="BH18" i="3"/>
  <c r="BF18" i="3"/>
  <c r="AT18" i="3"/>
  <c r="AP18" i="3"/>
  <c r="R18" i="3"/>
  <c r="BL16" i="3"/>
  <c r="BL18" i="3" s="1"/>
  <c r="BJ16" i="3"/>
  <c r="BJ18" i="3" s="1"/>
  <c r="BD16" i="3"/>
  <c r="BD18" i="3" s="1"/>
  <c r="BB16" i="3"/>
  <c r="BB18" i="3" s="1"/>
  <c r="AZ16" i="3"/>
  <c r="AZ18" i="3" s="1"/>
  <c r="AX16" i="3"/>
  <c r="AX18" i="3" s="1"/>
  <c r="AV16" i="3"/>
  <c r="AV18" i="3" s="1"/>
  <c r="AT16" i="3"/>
  <c r="AR16" i="3"/>
  <c r="AR18" i="3" s="1"/>
  <c r="AP16" i="3"/>
  <c r="AN16" i="3"/>
  <c r="AN18" i="3" s="1"/>
  <c r="AL16" i="3"/>
  <c r="AL18" i="3" s="1"/>
  <c r="AJ16" i="3"/>
  <c r="AJ18" i="3" s="1"/>
  <c r="AH16" i="3"/>
  <c r="AH18" i="3" s="1"/>
  <c r="AF16" i="3"/>
  <c r="AD16" i="3"/>
  <c r="AB16" i="3"/>
  <c r="AB18" i="3" s="1"/>
  <c r="Z16" i="3"/>
  <c r="X16" i="3"/>
  <c r="X18" i="3" s="1"/>
  <c r="V16" i="3"/>
  <c r="T16" i="3"/>
  <c r="T18" i="3" s="1"/>
  <c r="R16" i="3"/>
  <c r="P16" i="3"/>
  <c r="P18" i="3" s="1"/>
  <c r="N16" i="3"/>
  <c r="N18" i="3" s="1"/>
  <c r="AF15" i="3"/>
  <c r="AF47" i="3" s="1"/>
  <c r="AD15" i="3"/>
  <c r="AD47" i="3" s="1"/>
  <c r="Z15" i="3"/>
  <c r="Z47" i="3" s="1"/>
  <c r="V15" i="3"/>
  <c r="V47" i="3" s="1"/>
  <c r="BN13" i="3"/>
  <c r="BH13" i="3"/>
  <c r="BF13" i="3"/>
  <c r="BL12" i="3"/>
  <c r="BJ12" i="3"/>
  <c r="BD12" i="3"/>
  <c r="BB12" i="3"/>
  <c r="AX12" i="3"/>
  <c r="AV12" i="3"/>
  <c r="AT12" i="3"/>
  <c r="AR12" i="3"/>
  <c r="AP12" i="3"/>
  <c r="AN12" i="3"/>
  <c r="AL12" i="3"/>
  <c r="AJ12" i="3"/>
  <c r="AH12" i="3"/>
  <c r="AF12" i="3"/>
  <c r="AD12" i="3"/>
  <c r="AB12" i="3"/>
  <c r="Z12" i="3"/>
  <c r="X12" i="3"/>
  <c r="V12" i="3"/>
  <c r="T12" i="3"/>
  <c r="R12" i="3"/>
  <c r="P12" i="3"/>
  <c r="N12" i="3"/>
  <c r="AX11" i="3"/>
  <c r="AV11" i="3"/>
  <c r="AT11" i="3"/>
  <c r="AR11" i="3"/>
  <c r="AP11" i="3"/>
  <c r="AN11" i="3"/>
  <c r="AL11" i="3"/>
  <c r="AJ11" i="3"/>
  <c r="AH11" i="3"/>
  <c r="AF11" i="3"/>
  <c r="AD11" i="3"/>
  <c r="BL10" i="3"/>
  <c r="BJ10" i="3"/>
  <c r="AP10" i="3"/>
  <c r="AN10" i="3"/>
  <c r="AL10" i="3"/>
  <c r="AJ10" i="3"/>
  <c r="AH10" i="3"/>
  <c r="AF10" i="3"/>
  <c r="AD10" i="3"/>
  <c r="AB10" i="3"/>
  <c r="Z10" i="3"/>
  <c r="X10" i="3"/>
  <c r="V10" i="3"/>
  <c r="T10" i="3"/>
  <c r="R10" i="3"/>
  <c r="P10" i="3"/>
  <c r="N10" i="3"/>
  <c r="BL9" i="3"/>
  <c r="BJ9" i="3"/>
  <c r="BD9" i="3"/>
  <c r="BB9" i="3"/>
  <c r="AX9" i="3"/>
  <c r="AV9" i="3"/>
  <c r="AT9" i="3"/>
  <c r="AR9" i="3"/>
  <c r="AP9" i="3"/>
  <c r="AN9" i="3"/>
  <c r="AL9" i="3"/>
  <c r="AJ9" i="3"/>
  <c r="AH9" i="3"/>
  <c r="AF9" i="3"/>
  <c r="T9" i="3"/>
  <c r="R9" i="3"/>
  <c r="P9" i="3"/>
  <c r="N9" i="3"/>
  <c r="BB8" i="3"/>
  <c r="AX8" i="3"/>
  <c r="AX43" i="3" s="1"/>
  <c r="AL8" i="3"/>
  <c r="AL13" i="3" s="1"/>
  <c r="AH8" i="3"/>
  <c r="AH43" i="3" s="1"/>
  <c r="V8" i="3"/>
  <c r="V13" i="3" s="1"/>
  <c r="R8" i="3"/>
  <c r="R43" i="3" s="1"/>
  <c r="BL7" i="3"/>
  <c r="BJ7" i="3"/>
  <c r="BD7" i="3"/>
  <c r="BB7" i="3"/>
  <c r="AZ7" i="3"/>
  <c r="AX7" i="3"/>
  <c r="AV7" i="3"/>
  <c r="AT7" i="3"/>
  <c r="AR7" i="3"/>
  <c r="AP7" i="3"/>
  <c r="AN7" i="3"/>
  <c r="AL7" i="3"/>
  <c r="AJ7" i="3"/>
  <c r="AH7" i="3"/>
  <c r="AF7" i="3"/>
  <c r="AD7" i="3"/>
  <c r="AB7" i="3"/>
  <c r="Z7" i="3"/>
  <c r="X7" i="3"/>
  <c r="V7" i="3"/>
  <c r="T7" i="3"/>
  <c r="R7" i="3"/>
  <c r="P7" i="3"/>
  <c r="N7" i="3"/>
  <c r="AZ5" i="3"/>
  <c r="AB5" i="3"/>
  <c r="T5" i="3"/>
  <c r="BN4" i="3"/>
  <c r="BL4" i="3"/>
  <c r="BL27" i="3" s="1"/>
  <c r="BJ4" i="3"/>
  <c r="BJ27" i="3" s="1"/>
  <c r="BD4" i="3"/>
  <c r="BD27" i="3" s="1"/>
  <c r="BB4" i="3"/>
  <c r="BB27" i="3" s="1"/>
  <c r="AZ4" i="3"/>
  <c r="AZ8" i="3" s="1"/>
  <c r="AX4" i="3"/>
  <c r="AX27" i="3" s="1"/>
  <c r="AV4" i="3"/>
  <c r="AV27" i="3" s="1"/>
  <c r="AT4" i="3"/>
  <c r="AT27" i="3" s="1"/>
  <c r="AR4" i="3"/>
  <c r="AR27" i="3" s="1"/>
  <c r="AP4" i="3"/>
  <c r="AP27" i="3" s="1"/>
  <c r="AN4" i="3"/>
  <c r="AN27" i="3" s="1"/>
  <c r="AL4" i="3"/>
  <c r="AL27" i="3" s="1"/>
  <c r="AJ4" i="3"/>
  <c r="AJ27" i="3" s="1"/>
  <c r="AH4" i="3"/>
  <c r="AH27" i="3" s="1"/>
  <c r="AF4" i="3"/>
  <c r="AF27" i="3" s="1"/>
  <c r="AD4" i="3"/>
  <c r="AB4" i="3"/>
  <c r="Z4" i="3"/>
  <c r="Z27" i="3" s="1"/>
  <c r="X4" i="3"/>
  <c r="X27" i="3" s="1"/>
  <c r="V4" i="3"/>
  <c r="V27" i="3" s="1"/>
  <c r="T4" i="3"/>
  <c r="R4" i="3"/>
  <c r="R27" i="3" s="1"/>
  <c r="P4" i="3"/>
  <c r="P27" i="3" s="1"/>
  <c r="N4" i="3"/>
  <c r="N27" i="3" s="1"/>
  <c r="L40" i="3" l="1"/>
  <c r="T27" i="3"/>
  <c r="AB27" i="3"/>
  <c r="Z8" i="3"/>
  <c r="Z43" i="3" s="1"/>
  <c r="AP8" i="3"/>
  <c r="AP43" i="3" s="1"/>
  <c r="AD27" i="3"/>
  <c r="N8" i="3"/>
  <c r="N13" i="3" s="1"/>
  <c r="AD8" i="3"/>
  <c r="AD13" i="3" s="1"/>
  <c r="AT8" i="3"/>
  <c r="AT13" i="3" s="1"/>
  <c r="BN33" i="3"/>
  <c r="AP33" i="3"/>
  <c r="V34" i="3"/>
  <c r="V25" i="3" s="1"/>
  <c r="AL34" i="3"/>
  <c r="AL25" i="3" s="1"/>
  <c r="BB13" i="3"/>
  <c r="Z18" i="3"/>
  <c r="Z33" i="3"/>
  <c r="N34" i="3"/>
  <c r="N25" i="3" s="1"/>
  <c r="AD34" i="3"/>
  <c r="AD25" i="3" s="1"/>
  <c r="AT34" i="3"/>
  <c r="AT25" i="3" s="1"/>
  <c r="BJ8" i="3"/>
  <c r="BJ13" i="3" s="1"/>
  <c r="AH33" i="3"/>
  <c r="R34" i="3"/>
  <c r="R25" i="3" s="1"/>
  <c r="AH34" i="3"/>
  <c r="AH25" i="3" s="1"/>
  <c r="BH41" i="3"/>
  <c r="BH26" i="3" s="1"/>
  <c r="R49" i="3"/>
  <c r="AH49" i="3"/>
  <c r="AP49" i="3"/>
  <c r="AJ49" i="3"/>
  <c r="AR49" i="3"/>
  <c r="AZ41" i="3"/>
  <c r="AZ26" i="3" s="1"/>
  <c r="AZ33" i="3"/>
  <c r="AZ40" i="3"/>
  <c r="BB41" i="3"/>
  <c r="BB26" i="3" s="1"/>
  <c r="BN49" i="3"/>
  <c r="BF41" i="3"/>
  <c r="BF26" i="3" s="1"/>
  <c r="Z49" i="3"/>
  <c r="AZ13" i="3"/>
  <c r="AZ43" i="3"/>
  <c r="AZ27" i="3" s="1"/>
  <c r="T49" i="3"/>
  <c r="AB49" i="3"/>
  <c r="AL40" i="3"/>
  <c r="AL41" i="3"/>
  <c r="AL26" i="3" s="1"/>
  <c r="N40" i="3"/>
  <c r="N41" i="3"/>
  <c r="N26" i="3" s="1"/>
  <c r="V40" i="3"/>
  <c r="V41" i="3"/>
  <c r="V26" i="3" s="1"/>
  <c r="AD40" i="3"/>
  <c r="AD41" i="3"/>
  <c r="AD26" i="3" s="1"/>
  <c r="AT40" i="3"/>
  <c r="AT41" i="3"/>
  <c r="AT26" i="3" s="1"/>
  <c r="P41" i="3"/>
  <c r="P26" i="3" s="1"/>
  <c r="P40" i="3"/>
  <c r="X41" i="3"/>
  <c r="X26" i="3" s="1"/>
  <c r="X40" i="3"/>
  <c r="AF41" i="3"/>
  <c r="AF26" i="3" s="1"/>
  <c r="AF40" i="3"/>
  <c r="AN41" i="3"/>
  <c r="AN26" i="3" s="1"/>
  <c r="AN40" i="3"/>
  <c r="AV41" i="3"/>
  <c r="AV26" i="3" s="1"/>
  <c r="AV40" i="3"/>
  <c r="T8" i="3"/>
  <c r="AB8" i="3"/>
  <c r="AJ8" i="3"/>
  <c r="AR8" i="3"/>
  <c r="BL8" i="3"/>
  <c r="BL13" i="3" s="1"/>
  <c r="R13" i="3"/>
  <c r="Z13" i="3"/>
  <c r="AH13" i="3"/>
  <c r="AP13" i="3"/>
  <c r="AX13" i="3"/>
  <c r="AF18" i="3"/>
  <c r="N33" i="3"/>
  <c r="V33" i="3"/>
  <c r="AD33" i="3"/>
  <c r="AL33" i="3"/>
  <c r="AT33" i="3"/>
  <c r="P34" i="3"/>
  <c r="P25" i="3" s="1"/>
  <c r="X34" i="3"/>
  <c r="X25" i="3" s="1"/>
  <c r="AF34" i="3"/>
  <c r="AF25" i="3" s="1"/>
  <c r="AN34" i="3"/>
  <c r="AN25" i="3" s="1"/>
  <c r="AV34" i="3"/>
  <c r="AV25" i="3" s="1"/>
  <c r="R39" i="3"/>
  <c r="Z39" i="3"/>
  <c r="AH39" i="3"/>
  <c r="AP39" i="3"/>
  <c r="AZ46" i="3"/>
  <c r="AZ49" i="3" s="1"/>
  <c r="N48" i="3"/>
  <c r="N49" i="3" s="1"/>
  <c r="V48" i="3"/>
  <c r="V49" i="3" s="1"/>
  <c r="AD48" i="3"/>
  <c r="AD49" i="3" s="1"/>
  <c r="AL48" i="3"/>
  <c r="AL49" i="3" s="1"/>
  <c r="AT48" i="3"/>
  <c r="AT49" i="3" s="1"/>
  <c r="P33" i="3"/>
  <c r="X33" i="3"/>
  <c r="AF33" i="3"/>
  <c r="AN33" i="3"/>
  <c r="AV33" i="3"/>
  <c r="BF34" i="3"/>
  <c r="BF25" i="3" s="1"/>
  <c r="T39" i="3"/>
  <c r="AB39" i="3"/>
  <c r="AJ39" i="3"/>
  <c r="AR39" i="3"/>
  <c r="N43" i="3"/>
  <c r="V43" i="3"/>
  <c r="AL43" i="3"/>
  <c r="AT43" i="3"/>
  <c r="P48" i="3"/>
  <c r="P49" i="3" s="1"/>
  <c r="X48" i="3"/>
  <c r="X49" i="3" s="1"/>
  <c r="AF48" i="3"/>
  <c r="AF49" i="3" s="1"/>
  <c r="AN48" i="3"/>
  <c r="AN49" i="3" s="1"/>
  <c r="AV48" i="3"/>
  <c r="AV49" i="3" s="1"/>
  <c r="P8" i="3"/>
  <c r="X8" i="3"/>
  <c r="AF8" i="3"/>
  <c r="AN8" i="3"/>
  <c r="AV8" i="3"/>
  <c r="BD8" i="3"/>
  <c r="BD13" i="3" s="1"/>
  <c r="T34" i="3"/>
  <c r="T25" i="3" s="1"/>
  <c r="AB34" i="3"/>
  <c r="AB25" i="3" s="1"/>
  <c r="AJ34" i="3"/>
  <c r="AJ25" i="3" s="1"/>
  <c r="AR34" i="3"/>
  <c r="AR25" i="3" s="1"/>
  <c r="V18" i="3"/>
  <c r="AD18" i="3"/>
  <c r="T33" i="3"/>
  <c r="AB33" i="3"/>
  <c r="AJ33" i="3"/>
  <c r="AR33" i="3"/>
  <c r="AD43" i="3" l="1"/>
  <c r="T40" i="3"/>
  <c r="T41" i="3"/>
  <c r="T26" i="3" s="1"/>
  <c r="Z40" i="3"/>
  <c r="Z41" i="3"/>
  <c r="Z26" i="3" s="1"/>
  <c r="AJ13" i="3"/>
  <c r="AJ43" i="3"/>
  <c r="X13" i="3"/>
  <c r="X43" i="3"/>
  <c r="AR40" i="3"/>
  <c r="AR41" i="3"/>
  <c r="AR26" i="3" s="1"/>
  <c r="R40" i="3"/>
  <c r="R41" i="3"/>
  <c r="R26" i="3" s="1"/>
  <c r="AB13" i="3"/>
  <c r="AB43" i="3"/>
  <c r="AV13" i="3"/>
  <c r="AV43" i="3"/>
  <c r="P13" i="3"/>
  <c r="P43" i="3"/>
  <c r="AJ40" i="3"/>
  <c r="AJ41" i="3"/>
  <c r="AJ26" i="3" s="1"/>
  <c r="AP40" i="3"/>
  <c r="AP41" i="3"/>
  <c r="AP26" i="3" s="1"/>
  <c r="T13" i="3"/>
  <c r="T43" i="3"/>
  <c r="AN13" i="3"/>
  <c r="AN43" i="3"/>
  <c r="AB40" i="3"/>
  <c r="AB41" i="3"/>
  <c r="AB26" i="3" s="1"/>
  <c r="AH40" i="3"/>
  <c r="AH41" i="3"/>
  <c r="AH26" i="3" s="1"/>
  <c r="AR13" i="3"/>
  <c r="AR43" i="3"/>
  <c r="AF13" i="3"/>
  <c r="AF43" i="3"/>
  <c r="J44" i="4" l="1"/>
  <c r="I44" i="4" s="1"/>
  <c r="D36" i="6"/>
  <c r="D16" i="6"/>
  <c r="D25" i="6" s="1"/>
  <c r="D12" i="6"/>
  <c r="D10" i="6"/>
  <c r="D9" i="6"/>
  <c r="D7" i="6"/>
  <c r="D4" i="6"/>
  <c r="D46" i="6"/>
  <c r="D45" i="6"/>
  <c r="D18" i="6"/>
  <c r="D8" i="6"/>
  <c r="D17" i="9"/>
  <c r="P17" i="9" s="1"/>
  <c r="D15" i="9"/>
  <c r="P15" i="9" s="1"/>
  <c r="D12" i="9"/>
  <c r="P12" i="9" s="1"/>
  <c r="D11" i="9"/>
  <c r="P11" i="9" s="1"/>
  <c r="D10" i="9"/>
  <c r="P10" i="9" s="1"/>
  <c r="D9" i="9"/>
  <c r="P9" i="9" s="1"/>
  <c r="D6" i="9"/>
  <c r="D5" i="9"/>
  <c r="D27" i="6" l="1"/>
  <c r="D31" i="6" s="1"/>
  <c r="P5" i="9"/>
  <c r="D34" i="6"/>
  <c r="D44" i="6" s="1"/>
  <c r="D47" i="6" s="1"/>
  <c r="P6" i="9"/>
  <c r="D13" i="9"/>
  <c r="P13" i="9" s="1"/>
  <c r="D41" i="6"/>
  <c r="D13" i="6"/>
  <c r="D7" i="9"/>
  <c r="P7" i="9" s="1"/>
  <c r="E5" i="9"/>
  <c r="K62" i="4"/>
  <c r="K45" i="4"/>
  <c r="K46" i="4"/>
  <c r="K43" i="4"/>
  <c r="K37" i="4"/>
  <c r="K28" i="4"/>
  <c r="K27" i="4"/>
  <c r="K26" i="4"/>
  <c r="K25" i="4"/>
  <c r="K21" i="4"/>
  <c r="K16" i="4"/>
  <c r="K15" i="4"/>
  <c r="K14" i="4"/>
  <c r="K13" i="4"/>
  <c r="K12" i="4"/>
  <c r="K11" i="4"/>
  <c r="K10" i="4"/>
  <c r="K8" i="4"/>
  <c r="K7" i="4"/>
  <c r="K6" i="4"/>
  <c r="K4" i="4"/>
  <c r="J45" i="4" l="1"/>
  <c r="I45" i="4" s="1"/>
  <c r="J16" i="4"/>
  <c r="I16" i="4" s="1"/>
  <c r="J46" i="4"/>
  <c r="D32" i="6"/>
  <c r="D23" i="6" s="1"/>
  <c r="D39" i="6"/>
  <c r="D24" i="6" s="1"/>
  <c r="D38" i="6"/>
  <c r="D14" i="9"/>
  <c r="P14" i="9" s="1"/>
  <c r="E7" i="9"/>
  <c r="M62" i="4"/>
  <c r="L62" i="4" s="1"/>
  <c r="M46" i="4"/>
  <c r="L46" i="4" s="1"/>
  <c r="M43" i="4"/>
  <c r="L43" i="4" s="1"/>
  <c r="M37" i="4"/>
  <c r="L37" i="4" s="1"/>
  <c r="M28" i="4"/>
  <c r="L28" i="4" s="1"/>
  <c r="M27" i="4"/>
  <c r="L27" i="4" s="1"/>
  <c r="M26" i="4"/>
  <c r="L26" i="4" s="1"/>
  <c r="M25" i="4"/>
  <c r="L25" i="4" s="1"/>
  <c r="M23" i="4"/>
  <c r="M21" i="4"/>
  <c r="L21" i="4" s="1"/>
  <c r="M15" i="4"/>
  <c r="L15" i="4" s="1"/>
  <c r="M14" i="4"/>
  <c r="L14" i="4" s="1"/>
  <c r="M13" i="4"/>
  <c r="L13" i="4" s="1"/>
  <c r="M12" i="4"/>
  <c r="M11" i="4"/>
  <c r="L11" i="4" s="1"/>
  <c r="M10" i="4"/>
  <c r="L10" i="4" s="1"/>
  <c r="M8" i="4"/>
  <c r="L8" i="4" s="1"/>
  <c r="M7" i="4"/>
  <c r="L7" i="4" s="1"/>
  <c r="M6" i="4"/>
  <c r="L6" i="4" s="1"/>
  <c r="M4" i="4"/>
  <c r="J10" i="4" l="1"/>
  <c r="J7" i="4"/>
  <c r="J15" i="4"/>
  <c r="J26" i="4"/>
  <c r="J21" i="4"/>
  <c r="J62" i="4"/>
  <c r="I62" i="4" s="1"/>
  <c r="I10" i="4"/>
  <c r="J37" i="4"/>
  <c r="I37" i="4" s="1"/>
  <c r="J13" i="4"/>
  <c r="I13" i="4" s="1"/>
  <c r="I11" i="4"/>
  <c r="I15" i="4"/>
  <c r="I26" i="4"/>
  <c r="J11" i="4"/>
  <c r="J25" i="4"/>
  <c r="I25" i="4" s="1"/>
  <c r="J8" i="4"/>
  <c r="I8" i="4" s="1"/>
  <c r="I7" i="4"/>
  <c r="L12" i="4"/>
  <c r="J12" i="4"/>
  <c r="I21" i="4"/>
  <c r="I46" i="4"/>
  <c r="J27" i="4"/>
  <c r="I27" i="4" s="1"/>
  <c r="J43" i="4"/>
  <c r="I43" i="4" s="1"/>
  <c r="J6" i="4"/>
  <c r="I6" i="4" s="1"/>
  <c r="J14" i="4"/>
  <c r="I14" i="4" s="1"/>
  <c r="J28" i="4"/>
  <c r="I28" i="4" s="1"/>
  <c r="L50" i="4"/>
  <c r="L23" i="4"/>
  <c r="I23" i="4"/>
  <c r="L4" i="4"/>
  <c r="J4" i="4"/>
  <c r="E14" i="9"/>
  <c r="I12" i="4" l="1"/>
  <c r="I4" i="4"/>
  <c r="J24" i="4"/>
  <c r="J29" i="4" s="1"/>
  <c r="D21" i="9"/>
  <c r="D16" i="9" l="1"/>
  <c r="Q59" i="4"/>
  <c r="P59" i="4" s="1"/>
  <c r="Q14" i="4"/>
  <c r="D18" i="9" l="1"/>
  <c r="P18" i="9" s="1"/>
  <c r="P16" i="9"/>
  <c r="O59" i="4"/>
  <c r="P41" i="4"/>
  <c r="R35" i="4"/>
  <c r="Q35" i="4"/>
  <c r="O33" i="4"/>
  <c r="O32" i="4"/>
  <c r="O23" i="4"/>
  <c r="O20" i="4"/>
  <c r="N20" i="4" s="1"/>
  <c r="M20" i="4" s="1"/>
  <c r="O19" i="4"/>
  <c r="N19" i="4" s="1"/>
  <c r="M19" i="4" s="1"/>
  <c r="O18" i="4"/>
  <c r="N18" i="4" s="1"/>
  <c r="M18" i="4" s="1"/>
  <c r="P39" i="4"/>
  <c r="F16" i="6"/>
  <c r="F12" i="6"/>
  <c r="F10" i="6"/>
  <c r="F9" i="6"/>
  <c r="F7" i="6"/>
  <c r="F8" i="6" s="1"/>
  <c r="F41" i="6" s="1"/>
  <c r="F5" i="6"/>
  <c r="F4" i="6"/>
  <c r="F46" i="6"/>
  <c r="F45" i="6"/>
  <c r="F18" i="6"/>
  <c r="F21" i="9"/>
  <c r="F17" i="9"/>
  <c r="F11" i="9"/>
  <c r="F6" i="9"/>
  <c r="F5" i="9"/>
  <c r="F10" i="9"/>
  <c r="P35" i="4" l="1"/>
  <c r="O35" i="4" s="1"/>
  <c r="K20" i="4"/>
  <c r="I20" i="4" s="1"/>
  <c r="H20" i="4" s="1"/>
  <c r="G20" i="4" s="1"/>
  <c r="L20" i="4"/>
  <c r="K19" i="4"/>
  <c r="I19" i="4" s="1"/>
  <c r="H19" i="4" s="1"/>
  <c r="G19" i="4" s="1"/>
  <c r="L19" i="4"/>
  <c r="K18" i="4"/>
  <c r="I18" i="4" s="1"/>
  <c r="H18" i="4" s="1"/>
  <c r="G18" i="4" s="1"/>
  <c r="L18" i="4"/>
  <c r="F34" i="6"/>
  <c r="F39" i="6" s="1"/>
  <c r="F24" i="6" s="1"/>
  <c r="F7" i="9"/>
  <c r="F27" i="6"/>
  <c r="F25" i="6"/>
  <c r="F13" i="6"/>
  <c r="F9" i="9"/>
  <c r="G5" i="9"/>
  <c r="F19" i="4" l="1"/>
  <c r="F20" i="4"/>
  <c r="F18" i="4"/>
  <c r="F38" i="6"/>
  <c r="F44" i="6"/>
  <c r="F47" i="6" s="1"/>
  <c r="G7" i="9"/>
  <c r="F13" i="9"/>
  <c r="F32" i="6"/>
  <c r="F23" i="6" s="1"/>
  <c r="F31" i="6"/>
  <c r="F14" i="9" l="1"/>
  <c r="G14" i="9" l="1"/>
  <c r="Q62" i="4"/>
  <c r="Q58" i="4"/>
  <c r="Q48" i="4"/>
  <c r="Q46" i="4"/>
  <c r="Q45" i="4"/>
  <c r="Q44" i="4"/>
  <c r="Q43" i="4"/>
  <c r="Q40" i="4"/>
  <c r="Q39" i="4"/>
  <c r="Q28" i="4"/>
  <c r="Q27" i="4"/>
  <c r="Q26" i="4"/>
  <c r="Q25" i="4"/>
  <c r="Q21" i="4"/>
  <c r="Q16" i="4"/>
  <c r="Q13" i="4"/>
  <c r="Q12" i="4"/>
  <c r="Q11" i="4"/>
  <c r="Q10" i="4"/>
  <c r="Q7" i="4"/>
  <c r="Q6" i="4"/>
  <c r="Q4" i="4"/>
  <c r="P27" i="4" l="1"/>
  <c r="O27" i="4" s="1"/>
  <c r="O34" i="4"/>
  <c r="R62" i="4"/>
  <c r="P62" i="4" s="1"/>
  <c r="O62" i="4" s="1"/>
  <c r="R58" i="4"/>
  <c r="P58" i="4" s="1"/>
  <c r="R48" i="4"/>
  <c r="O48" i="4" s="1"/>
  <c r="R46" i="4"/>
  <c r="P46" i="4" s="1"/>
  <c r="R45" i="4"/>
  <c r="P45" i="4" s="1"/>
  <c r="O45" i="4" s="1"/>
  <c r="R44" i="4"/>
  <c r="P44" i="4" s="1"/>
  <c r="O44" i="4" s="1"/>
  <c r="R43" i="4"/>
  <c r="P43" i="4" s="1"/>
  <c r="R40" i="4"/>
  <c r="P40" i="4" s="1"/>
  <c r="O40" i="4" s="1"/>
  <c r="R28" i="4"/>
  <c r="R26" i="4"/>
  <c r="P26" i="4" s="1"/>
  <c r="O26" i="4" s="1"/>
  <c r="R25" i="4"/>
  <c r="P25" i="4" s="1"/>
  <c r="R9" i="4"/>
  <c r="O9" i="4" s="1"/>
  <c r="R21" i="4"/>
  <c r="P21" i="4" s="1"/>
  <c r="O21" i="4" s="1"/>
  <c r="R16" i="4"/>
  <c r="P16" i="4" s="1"/>
  <c r="R14" i="4"/>
  <c r="P14" i="4" s="1"/>
  <c r="O14" i="4" s="1"/>
  <c r="R13" i="4"/>
  <c r="P13" i="4" s="1"/>
  <c r="O13" i="4" s="1"/>
  <c r="R12" i="4"/>
  <c r="P12" i="4" s="1"/>
  <c r="O12" i="4" s="1"/>
  <c r="R11" i="4"/>
  <c r="P11" i="4" s="1"/>
  <c r="O11" i="4" s="1"/>
  <c r="R10" i="4"/>
  <c r="P10" i="4" s="1"/>
  <c r="O10" i="4" s="1"/>
  <c r="R7" i="4"/>
  <c r="P7" i="4" s="1"/>
  <c r="O7" i="4" s="1"/>
  <c r="R6" i="4"/>
  <c r="P6" i="4" s="1"/>
  <c r="O6" i="4" s="1"/>
  <c r="R4" i="4"/>
  <c r="P4" i="4" s="1"/>
  <c r="O4" i="4" s="1"/>
  <c r="O43" i="4" l="1"/>
  <c r="O46" i="4"/>
  <c r="O25" i="4"/>
  <c r="O16" i="4"/>
  <c r="P28" i="4"/>
  <c r="O28" i="4" s="1"/>
  <c r="O58" i="4"/>
  <c r="F15" i="9" l="1"/>
  <c r="F16" i="9" l="1"/>
  <c r="N21" i="9"/>
  <c r="L21" i="9"/>
  <c r="J21" i="9"/>
  <c r="N18" i="9"/>
  <c r="L18" i="9"/>
  <c r="J18" i="9"/>
  <c r="N17" i="9"/>
  <c r="L17" i="9"/>
  <c r="J17" i="9"/>
  <c r="N16" i="9"/>
  <c r="L16" i="9"/>
  <c r="J16" i="9"/>
  <c r="N15" i="9"/>
  <c r="L15" i="9"/>
  <c r="J15" i="9"/>
  <c r="N14" i="9"/>
  <c r="L14" i="9"/>
  <c r="J14" i="9"/>
  <c r="N13" i="9"/>
  <c r="L13" i="9"/>
  <c r="J13" i="9"/>
  <c r="N11" i="9"/>
  <c r="L11" i="9"/>
  <c r="J11" i="9"/>
  <c r="N10" i="9"/>
  <c r="L10" i="9"/>
  <c r="J10" i="9"/>
  <c r="N9" i="9"/>
  <c r="L9" i="9"/>
  <c r="J9" i="9"/>
  <c r="N8" i="9"/>
  <c r="N7" i="9"/>
  <c r="L7" i="9"/>
  <c r="J7" i="9"/>
  <c r="N6" i="9"/>
  <c r="L6" i="9"/>
  <c r="J6" i="9"/>
  <c r="J34" i="6" s="1"/>
  <c r="N5" i="9"/>
  <c r="O5" i="9" s="1"/>
  <c r="L5" i="9"/>
  <c r="M5" i="9" s="1"/>
  <c r="J5" i="9"/>
  <c r="K5" i="9" s="1"/>
  <c r="F18" i="9" l="1"/>
  <c r="K14" i="9"/>
  <c r="O7" i="9"/>
  <c r="O14" i="9"/>
  <c r="J27" i="6"/>
  <c r="M7" i="9"/>
  <c r="K7" i="9"/>
  <c r="M14" i="9"/>
  <c r="J39" i="6" l="1"/>
  <c r="J24" i="6" s="1"/>
  <c r="J38" i="6"/>
  <c r="J32" i="6"/>
  <c r="J23" i="6" s="1"/>
  <c r="J31" i="6"/>
  <c r="L46" i="6"/>
  <c r="L45" i="6"/>
  <c r="L44" i="6"/>
  <c r="L31" i="6"/>
  <c r="L32" i="6"/>
  <c r="L18" i="6"/>
  <c r="L16" i="6"/>
  <c r="L12" i="6"/>
  <c r="L11" i="6"/>
  <c r="L9" i="6"/>
  <c r="L7" i="6"/>
  <c r="L4" i="6"/>
  <c r="L8" i="6" s="1"/>
  <c r="L47" i="6" l="1"/>
  <c r="L41" i="6"/>
  <c r="L13" i="6"/>
  <c r="L37" i="6"/>
  <c r="L38" i="6" l="1"/>
  <c r="L39" i="6"/>
  <c r="J45" i="6" l="1"/>
  <c r="H45" i="6"/>
  <c r="J44" i="6"/>
  <c r="J46" i="6"/>
  <c r="H46" i="6"/>
  <c r="J16" i="6"/>
  <c r="J18" i="6" s="1"/>
  <c r="H16" i="6"/>
  <c r="H18" i="6" s="1"/>
  <c r="J12" i="6"/>
  <c r="H12" i="6"/>
  <c r="J11" i="6"/>
  <c r="J10" i="6"/>
  <c r="H10" i="6"/>
  <c r="J9" i="6"/>
  <c r="J7" i="6"/>
  <c r="H7" i="6"/>
  <c r="H5" i="6"/>
  <c r="J4" i="6"/>
  <c r="H4" i="6"/>
  <c r="J47" i="6" l="1"/>
  <c r="H25" i="6"/>
  <c r="H8" i="6"/>
  <c r="J8" i="6"/>
  <c r="J13" i="6" l="1"/>
  <c r="J41" i="6"/>
  <c r="H13" i="6"/>
  <c r="H41" i="6"/>
  <c r="U48" i="4"/>
  <c r="T48" i="4" s="1"/>
  <c r="T59" i="4"/>
  <c r="T58" i="4"/>
  <c r="T57" i="4"/>
  <c r="S57" i="4" s="1"/>
  <c r="R57" i="4" s="1"/>
  <c r="Q57" i="4" s="1"/>
  <c r="P57" i="4" s="1"/>
  <c r="T53" i="4"/>
  <c r="T49" i="4"/>
  <c r="S49" i="4" s="1"/>
  <c r="R49" i="4" s="1"/>
  <c r="Q49" i="4" s="1"/>
  <c r="P49" i="4" s="1"/>
  <c r="O49" i="4" s="1"/>
  <c r="K49" i="4" s="1"/>
  <c r="I49" i="4" s="1"/>
  <c r="T47" i="4"/>
  <c r="S47" i="4" s="1"/>
  <c r="R47" i="4" s="1"/>
  <c r="Q47" i="4" s="1"/>
  <c r="P47" i="4" s="1"/>
  <c r="O47" i="4" s="1"/>
  <c r="T42" i="4"/>
  <c r="S42" i="4" s="1"/>
  <c r="R42" i="4" s="1"/>
  <c r="Q42" i="4" s="1"/>
  <c r="P42" i="4" s="1"/>
  <c r="O42" i="4" s="1"/>
  <c r="T41" i="4"/>
  <c r="S41" i="4" s="1"/>
  <c r="R41" i="4" s="1"/>
  <c r="Q41" i="4" s="1"/>
  <c r="O41" i="4" s="1"/>
  <c r="T39" i="4"/>
  <c r="S39" i="4" s="1"/>
  <c r="O39" i="4" s="1"/>
  <c r="T38" i="4"/>
  <c r="S38" i="4" s="1"/>
  <c r="T34" i="4"/>
  <c r="T32" i="4"/>
  <c r="T26" i="4"/>
  <c r="T23" i="4"/>
  <c r="T22" i="4"/>
  <c r="S22" i="4" s="1"/>
  <c r="R22" i="4" s="1"/>
  <c r="Q22" i="4" s="1"/>
  <c r="P22" i="4" s="1"/>
  <c r="O22" i="4" s="1"/>
  <c r="N22" i="4" s="1"/>
  <c r="M22" i="4" s="1"/>
  <c r="T20" i="4"/>
  <c r="T17" i="4"/>
  <c r="S17" i="4" s="1"/>
  <c r="R17" i="4" s="1"/>
  <c r="Q17" i="4" s="1"/>
  <c r="P17" i="4" s="1"/>
  <c r="O17" i="4" s="1"/>
  <c r="N17" i="4" s="1"/>
  <c r="M17" i="4" s="1"/>
  <c r="L17" i="4" s="1"/>
  <c r="T15" i="4"/>
  <c r="S15" i="4" s="1"/>
  <c r="T13" i="4"/>
  <c r="G50" i="4" l="1"/>
  <c r="K22" i="4"/>
  <c r="I22" i="4" s="1"/>
  <c r="H22" i="4" s="1"/>
  <c r="G22" i="4" s="1"/>
  <c r="L22" i="4"/>
  <c r="L24" i="4" s="1"/>
  <c r="L29" i="4" s="1"/>
  <c r="K47" i="4"/>
  <c r="I47" i="4" s="1"/>
  <c r="M50" i="4"/>
  <c r="K17" i="4"/>
  <c r="I17" i="4" s="1"/>
  <c r="H17" i="4" s="1"/>
  <c r="G17" i="4" s="1"/>
  <c r="M24" i="4"/>
  <c r="M29" i="4" s="1"/>
  <c r="T60" i="4"/>
  <c r="S53" i="4"/>
  <c r="S50" i="4"/>
  <c r="R38" i="4"/>
  <c r="O57" i="4"/>
  <c r="N57" i="4" s="1"/>
  <c r="M57" i="4" s="1"/>
  <c r="K57" i="4" s="1"/>
  <c r="I57" i="4" s="1"/>
  <c r="H57" i="4" s="1"/>
  <c r="G57" i="4" s="1"/>
  <c r="F57" i="4" s="1"/>
  <c r="S24" i="4"/>
  <c r="S29" i="4" s="1"/>
  <c r="R15" i="4"/>
  <c r="F17" i="4" l="1"/>
  <c r="F22" i="4"/>
  <c r="K24" i="4"/>
  <c r="K29" i="4" s="1"/>
  <c r="K60" i="4"/>
  <c r="K50" i="4"/>
  <c r="Q38" i="4"/>
  <c r="R50" i="4"/>
  <c r="S60" i="4"/>
  <c r="S64" i="4" s="1"/>
  <c r="R53" i="4"/>
  <c r="Q15" i="4"/>
  <c r="R24" i="4"/>
  <c r="R29" i="4" s="1"/>
  <c r="H60" i="4" l="1"/>
  <c r="K64" i="4"/>
  <c r="J50" i="4"/>
  <c r="I24" i="4"/>
  <c r="I29" i="4" s="1"/>
  <c r="Q53" i="4"/>
  <c r="R60" i="4"/>
  <c r="R64" i="4" s="1"/>
  <c r="P38" i="4"/>
  <c r="Q50" i="4"/>
  <c r="Q24" i="4"/>
  <c r="Q29" i="4" s="1"/>
  <c r="U60" i="4"/>
  <c r="H21" i="9"/>
  <c r="H17" i="9"/>
  <c r="H11" i="9"/>
  <c r="H10" i="9"/>
  <c r="H6" i="9"/>
  <c r="H34" i="6" s="1"/>
  <c r="H5" i="9"/>
  <c r="G60" i="4" l="1"/>
  <c r="H24" i="4"/>
  <c r="H29" i="4" s="1"/>
  <c r="H7" i="9"/>
  <c r="H27" i="6"/>
  <c r="I5" i="9"/>
  <c r="H39" i="6"/>
  <c r="H24" i="6" s="1"/>
  <c r="H38" i="6"/>
  <c r="H44" i="6"/>
  <c r="H47" i="6" s="1"/>
  <c r="H9" i="9"/>
  <c r="H13" i="9" s="1"/>
  <c r="I50" i="4"/>
  <c r="O38" i="4"/>
  <c r="P50" i="4"/>
  <c r="Q60" i="4"/>
  <c r="Q64" i="4" s="1"/>
  <c r="P53" i="4"/>
  <c r="O15" i="4"/>
  <c r="P24" i="4"/>
  <c r="P29" i="4" s="1"/>
  <c r="V62" i="4"/>
  <c r="V28" i="4"/>
  <c r="F60" i="4" l="1"/>
  <c r="G24" i="4"/>
  <c r="G29" i="4" s="1"/>
  <c r="G64" i="4" s="1"/>
  <c r="H50" i="4"/>
  <c r="H64" i="4" s="1"/>
  <c r="H32" i="6"/>
  <c r="H23" i="6" s="1"/>
  <c r="H31" i="6"/>
  <c r="H14" i="9"/>
  <c r="I14" i="9" s="1"/>
  <c r="I7" i="9"/>
  <c r="O50" i="4"/>
  <c r="N50" i="4"/>
  <c r="O24" i="4"/>
  <c r="O29" i="4" s="1"/>
  <c r="N24" i="4"/>
  <c r="N29" i="4" s="1"/>
  <c r="O53" i="4"/>
  <c r="P60" i="4"/>
  <c r="P64" i="4" s="1"/>
  <c r="V46" i="4"/>
  <c r="V45" i="4"/>
  <c r="V44" i="4"/>
  <c r="U44" i="4" s="1"/>
  <c r="T44" i="4" s="1"/>
  <c r="V43" i="4"/>
  <c r="V35" i="4"/>
  <c r="V33" i="4"/>
  <c r="V27" i="4"/>
  <c r="V25" i="4"/>
  <c r="V21" i="4"/>
  <c r="V19" i="4"/>
  <c r="V18" i="4"/>
  <c r="U18" i="4" s="1"/>
  <c r="T18" i="4" s="1"/>
  <c r="V16" i="4"/>
  <c r="V14" i="4"/>
  <c r="V12" i="4"/>
  <c r="V11" i="4"/>
  <c r="V10" i="4"/>
  <c r="V9" i="4"/>
  <c r="V7" i="4"/>
  <c r="V6" i="4"/>
  <c r="V4" i="4"/>
  <c r="V60" i="4"/>
  <c r="F24" i="4" l="1"/>
  <c r="F29" i="4" s="1"/>
  <c r="F64" i="4" s="1"/>
  <c r="F68" i="4" s="1"/>
  <c r="E66" i="4" s="1"/>
  <c r="O60" i="4"/>
  <c r="O64" i="4" s="1"/>
  <c r="N53" i="4"/>
  <c r="V50" i="4"/>
  <c r="V24" i="4"/>
  <c r="V29" i="4" s="1"/>
  <c r="N60" i="4" l="1"/>
  <c r="N64" i="4" s="1"/>
  <c r="M53" i="4"/>
  <c r="V64" i="4"/>
  <c r="L53" i="4" l="1"/>
  <c r="L60" i="4" s="1"/>
  <c r="L64" i="4" s="1"/>
  <c r="J53" i="4"/>
  <c r="H15" i="9"/>
  <c r="M60" i="4"/>
  <c r="M64" i="4" s="1"/>
  <c r="W62" i="4"/>
  <c r="U62" i="4" s="1"/>
  <c r="T62" i="4" s="1"/>
  <c r="I53" i="4" l="1"/>
  <c r="I60" i="4" s="1"/>
  <c r="I64" i="4" s="1"/>
  <c r="J60" i="4"/>
  <c r="J64" i="4" s="1"/>
  <c r="W46" i="4"/>
  <c r="U46" i="4" s="1"/>
  <c r="T46" i="4" s="1"/>
  <c r="W45" i="4"/>
  <c r="U45" i="4" s="1"/>
  <c r="T45" i="4" s="1"/>
  <c r="W43" i="4"/>
  <c r="U43" i="4" s="1"/>
  <c r="T43" i="4" s="1"/>
  <c r="W35" i="4"/>
  <c r="U35" i="4" s="1"/>
  <c r="T35" i="4" s="1"/>
  <c r="W33" i="4"/>
  <c r="U33" i="4" s="1"/>
  <c r="W28" i="4"/>
  <c r="U28" i="4" s="1"/>
  <c r="T28" i="4" s="1"/>
  <c r="W27" i="4"/>
  <c r="U27" i="4" s="1"/>
  <c r="T27" i="4" s="1"/>
  <c r="W25" i="4"/>
  <c r="U25" i="4" s="1"/>
  <c r="T25" i="4" s="1"/>
  <c r="W21" i="4"/>
  <c r="U21" i="4" s="1"/>
  <c r="T21" i="4" s="1"/>
  <c r="W19" i="4"/>
  <c r="T19" i="4" s="1"/>
  <c r="W16" i="4"/>
  <c r="U16" i="4" s="1"/>
  <c r="T16" i="4" s="1"/>
  <c r="W14" i="4"/>
  <c r="U14" i="4" s="1"/>
  <c r="T14" i="4" s="1"/>
  <c r="W12" i="4"/>
  <c r="U12" i="4" s="1"/>
  <c r="T12" i="4" s="1"/>
  <c r="W11" i="4"/>
  <c r="U11" i="4" s="1"/>
  <c r="T11" i="4" s="1"/>
  <c r="W10" i="4"/>
  <c r="U10" i="4" s="1"/>
  <c r="T10" i="4" s="1"/>
  <c r="W9" i="4"/>
  <c r="W7" i="4"/>
  <c r="U7" i="4" s="1"/>
  <c r="T7" i="4" s="1"/>
  <c r="W6" i="4"/>
  <c r="U6" i="4" s="1"/>
  <c r="T6" i="4" s="1"/>
  <c r="W4" i="4"/>
  <c r="W60" i="4"/>
  <c r="W50" i="4" l="1"/>
  <c r="T33" i="4"/>
  <c r="T50" i="4" s="1"/>
  <c r="U50" i="4"/>
  <c r="W24" i="4"/>
  <c r="W29" i="4" s="1"/>
  <c r="T9" i="4"/>
  <c r="W64" i="4" l="1"/>
  <c r="X4" i="4"/>
  <c r="X60" i="4"/>
  <c r="X50" i="4"/>
  <c r="X24" i="4" l="1"/>
  <c r="X29" i="4" s="1"/>
  <c r="X64" i="4" s="1"/>
  <c r="U4" i="4"/>
  <c r="T4" i="4" l="1"/>
  <c r="T24" i="4" s="1"/>
  <c r="T29" i="4" s="1"/>
  <c r="T64" i="4" s="1"/>
  <c r="U24" i="4"/>
  <c r="U29" i="4" s="1"/>
  <c r="U64" i="4" s="1"/>
  <c r="H16" i="9" l="1"/>
  <c r="H18" i="9" s="1"/>
  <c r="Z58" i="4"/>
  <c r="Y58" i="4" s="1"/>
  <c r="Z59" i="4"/>
  <c r="Y59" i="4" s="1"/>
  <c r="Z57" i="4"/>
  <c r="Y57" i="4" s="1"/>
  <c r="Z53" i="4"/>
  <c r="Y53" i="4" s="1"/>
  <c r="Z49" i="4"/>
  <c r="Y49" i="4" s="1"/>
  <c r="Z42" i="4"/>
  <c r="Y42" i="4" s="1"/>
  <c r="Z41" i="4"/>
  <c r="Y41" i="4" s="1"/>
  <c r="Z39" i="4"/>
  <c r="Y39" i="4" s="1"/>
  <c r="Z38" i="4"/>
  <c r="Y38" i="4" s="1"/>
  <c r="Z34" i="4"/>
  <c r="Y34" i="4" s="1"/>
  <c r="Z26" i="4"/>
  <c r="Y26" i="4" s="1"/>
  <c r="Z22" i="4"/>
  <c r="Y22" i="4" s="1"/>
  <c r="Z20" i="4"/>
  <c r="Y20" i="4" s="1"/>
  <c r="Z19" i="4"/>
  <c r="Y19" i="4" s="1"/>
  <c r="Z17" i="4"/>
  <c r="Y17" i="4" s="1"/>
  <c r="Z15" i="4"/>
  <c r="Y15" i="4" s="1"/>
  <c r="Z13" i="4"/>
  <c r="Y13" i="4" s="1"/>
  <c r="Y9" i="4"/>
  <c r="Y23" i="4"/>
  <c r="Y60" i="4" l="1"/>
  <c r="Z60" i="4"/>
  <c r="AA60" i="4" l="1"/>
  <c r="AA48" i="4"/>
  <c r="AA47" i="4"/>
  <c r="Z47" i="4" s="1"/>
  <c r="Y47" i="4" s="1"/>
  <c r="AA46" i="4"/>
  <c r="AA45" i="4"/>
  <c r="AA44" i="4"/>
  <c r="AA43" i="4"/>
  <c r="AA35" i="4"/>
  <c r="AA33" i="4"/>
  <c r="AA32" i="4"/>
  <c r="AA27" i="4"/>
  <c r="AA25" i="4"/>
  <c r="AA21" i="4"/>
  <c r="AA18" i="4"/>
  <c r="AA16" i="4"/>
  <c r="AA14" i="4"/>
  <c r="AA12" i="4"/>
  <c r="AA11" i="4"/>
  <c r="AA10" i="4"/>
  <c r="AA7" i="4"/>
  <c r="AA6" i="4"/>
  <c r="AA50" i="4" l="1"/>
  <c r="AA24" i="4"/>
  <c r="AA29" i="4" s="1"/>
  <c r="AA64" i="4" l="1"/>
  <c r="AB62" i="4" l="1"/>
  <c r="Z62" i="4" s="1"/>
  <c r="Y62" i="4" s="1"/>
  <c r="AB48" i="4"/>
  <c r="Z48" i="4" s="1"/>
  <c r="Y48" i="4" s="1"/>
  <c r="AB46" i="4"/>
  <c r="Z46" i="4" s="1"/>
  <c r="Y46" i="4" s="1"/>
  <c r="AB45" i="4"/>
  <c r="Z45" i="4" s="1"/>
  <c r="Y45" i="4" s="1"/>
  <c r="AB44" i="4"/>
  <c r="Z44" i="4" s="1"/>
  <c r="Y44" i="4" s="1"/>
  <c r="AB43" i="4"/>
  <c r="Z43" i="4" s="1"/>
  <c r="Y43" i="4" s="1"/>
  <c r="AB35" i="4"/>
  <c r="Z35" i="4" s="1"/>
  <c r="Y35" i="4" s="1"/>
  <c r="AB33" i="4"/>
  <c r="Z33" i="4" s="1"/>
  <c r="Y33" i="4" s="1"/>
  <c r="AB32" i="4"/>
  <c r="Z32" i="4" s="1"/>
  <c r="AB28" i="4"/>
  <c r="Z28" i="4" s="1"/>
  <c r="Y28" i="4" s="1"/>
  <c r="AB27" i="4"/>
  <c r="Z27" i="4" s="1"/>
  <c r="Y27" i="4" s="1"/>
  <c r="AB25" i="4"/>
  <c r="Z25" i="4" s="1"/>
  <c r="Y25" i="4" s="1"/>
  <c r="AB21" i="4"/>
  <c r="Z21" i="4" s="1"/>
  <c r="Y21" i="4" s="1"/>
  <c r="AB18" i="4"/>
  <c r="Z18" i="4" s="1"/>
  <c r="Y18" i="4" s="1"/>
  <c r="AB16" i="4"/>
  <c r="Z16" i="4" s="1"/>
  <c r="Y16" i="4" s="1"/>
  <c r="AB14" i="4"/>
  <c r="Z14" i="4" s="1"/>
  <c r="Y14" i="4" s="1"/>
  <c r="AB12" i="4"/>
  <c r="Z12" i="4" s="1"/>
  <c r="Y12" i="4" s="1"/>
  <c r="AB11" i="4"/>
  <c r="Z11" i="4" s="1"/>
  <c r="Y11" i="4" s="1"/>
  <c r="AB10" i="4"/>
  <c r="AB7" i="4"/>
  <c r="Z7" i="4" s="1"/>
  <c r="Y7" i="4" s="1"/>
  <c r="AB6" i="4"/>
  <c r="Z6" i="4" s="1"/>
  <c r="Y6" i="4" s="1"/>
  <c r="AB4" i="4"/>
  <c r="Z4" i="4" s="1"/>
  <c r="AE4" i="4"/>
  <c r="AF4" i="4"/>
  <c r="AG4" i="4"/>
  <c r="AI4" i="4"/>
  <c r="AJ4" i="4" s="1"/>
  <c r="AO4" i="4"/>
  <c r="AE6" i="4"/>
  <c r="AF6" i="4"/>
  <c r="AG6" i="4"/>
  <c r="AJ6" i="4"/>
  <c r="AO6" i="4"/>
  <c r="AE7" i="4"/>
  <c r="AF7" i="4"/>
  <c r="AG7" i="4"/>
  <c r="AJ7" i="4"/>
  <c r="AO7" i="4"/>
  <c r="AE9" i="4"/>
  <c r="AF9" i="4"/>
  <c r="AG9" i="4"/>
  <c r="AC10" i="4"/>
  <c r="AC24" i="4" s="1"/>
  <c r="AC29" i="4" s="1"/>
  <c r="AE10" i="4"/>
  <c r="AF10" i="4"/>
  <c r="AG10" i="4"/>
  <c r="AH10" i="4"/>
  <c r="AH24" i="4" s="1"/>
  <c r="AH29" i="4" s="1"/>
  <c r="AJ10" i="4"/>
  <c r="AO10" i="4"/>
  <c r="AE11" i="4"/>
  <c r="AF11" i="4"/>
  <c r="AG11" i="4"/>
  <c r="AJ11" i="4"/>
  <c r="AO11" i="4"/>
  <c r="AE12" i="4"/>
  <c r="AF12" i="4"/>
  <c r="AG12" i="4"/>
  <c r="AJ12" i="4"/>
  <c r="AO12" i="4"/>
  <c r="AE13" i="4"/>
  <c r="AJ13" i="4"/>
  <c r="AO13" i="4"/>
  <c r="AE14" i="4"/>
  <c r="AF14" i="4"/>
  <c r="AG14" i="4"/>
  <c r="AJ14" i="4"/>
  <c r="AO14" i="4"/>
  <c r="AJ15" i="4"/>
  <c r="AO15" i="4"/>
  <c r="AE16" i="4"/>
  <c r="AF16" i="4"/>
  <c r="AG16" i="4"/>
  <c r="AI16" i="4"/>
  <c r="AJ16" i="4" s="1"/>
  <c r="AO16" i="4"/>
  <c r="AO17" i="4"/>
  <c r="AE18" i="4"/>
  <c r="AJ18" i="4"/>
  <c r="AO18" i="4"/>
  <c r="AE19" i="4"/>
  <c r="AE21" i="4"/>
  <c r="AF21" i="4"/>
  <c r="AG21" i="4"/>
  <c r="AJ21" i="4"/>
  <c r="AO21" i="4"/>
  <c r="AO22" i="4"/>
  <c r="AF23" i="4"/>
  <c r="AG23" i="4"/>
  <c r="AO23" i="4"/>
  <c r="AD24" i="4"/>
  <c r="AD29" i="4" s="1"/>
  <c r="AI24" i="4"/>
  <c r="AK24" i="4"/>
  <c r="AL24" i="4"/>
  <c r="AM24" i="4"/>
  <c r="AM29" i="4" s="1"/>
  <c r="AN24" i="4"/>
  <c r="AP24" i="4"/>
  <c r="AQ24" i="4"/>
  <c r="AQ29" i="4" s="1"/>
  <c r="AR24" i="4"/>
  <c r="AR29" i="4" s="1"/>
  <c r="AE25" i="4"/>
  <c r="AF25" i="4"/>
  <c r="AG25" i="4"/>
  <c r="AI25" i="4"/>
  <c r="AJ25" i="4" s="1"/>
  <c r="AN25" i="4"/>
  <c r="AO25" i="4" s="1"/>
  <c r="AE27" i="4"/>
  <c r="AF27" i="4"/>
  <c r="AG27" i="4"/>
  <c r="AJ27" i="4"/>
  <c r="AO27" i="4"/>
  <c r="AE28" i="4"/>
  <c r="AF28" i="4"/>
  <c r="AG28" i="4"/>
  <c r="AJ28" i="4"/>
  <c r="AO28" i="4"/>
  <c r="AL29" i="4"/>
  <c r="AE32" i="4"/>
  <c r="AF32" i="4"/>
  <c r="AG32" i="4"/>
  <c r="AJ32" i="4"/>
  <c r="AO32" i="4"/>
  <c r="AE33" i="4"/>
  <c r="AJ33" i="4"/>
  <c r="AO33" i="4"/>
  <c r="AF34" i="4"/>
  <c r="AG34" i="4"/>
  <c r="AJ34" i="4"/>
  <c r="AO34" i="4"/>
  <c r="AJ38" i="4"/>
  <c r="AO38" i="4"/>
  <c r="AJ41" i="4"/>
  <c r="AO41" i="4"/>
  <c r="AJ42" i="4"/>
  <c r="AO42" i="4"/>
  <c r="AE43" i="4"/>
  <c r="AF43" i="4"/>
  <c r="AG43" i="4"/>
  <c r="AJ43" i="4"/>
  <c r="AO43" i="4"/>
  <c r="AE44" i="4"/>
  <c r="AF44" i="4"/>
  <c r="AG44" i="4"/>
  <c r="AI44" i="4"/>
  <c r="AI50" i="4" s="1"/>
  <c r="AO44" i="4"/>
  <c r="AE45" i="4"/>
  <c r="AF45" i="4"/>
  <c r="AG45" i="4"/>
  <c r="AJ45" i="4"/>
  <c r="AO45" i="4"/>
  <c r="AE46" i="4"/>
  <c r="AF46" i="4"/>
  <c r="AG46" i="4"/>
  <c r="AJ46" i="4"/>
  <c r="AO46" i="4"/>
  <c r="AE48" i="4"/>
  <c r="AF48" i="4"/>
  <c r="AG48" i="4"/>
  <c r="AJ48" i="4"/>
  <c r="AO48" i="4"/>
  <c r="AJ49" i="4"/>
  <c r="AO49" i="4"/>
  <c r="AC50" i="4"/>
  <c r="AD50" i="4"/>
  <c r="AH50" i="4"/>
  <c r="AK50" i="4"/>
  <c r="AK64" i="4" s="1"/>
  <c r="AL50" i="4"/>
  <c r="AM50" i="4"/>
  <c r="AN50" i="4"/>
  <c r="AP50" i="4"/>
  <c r="AQ50" i="4"/>
  <c r="AR50" i="4"/>
  <c r="AJ53" i="4"/>
  <c r="AO53" i="4"/>
  <c r="AE57" i="4"/>
  <c r="AJ57" i="4"/>
  <c r="AO57" i="4"/>
  <c r="AB60" i="4"/>
  <c r="AC60" i="4"/>
  <c r="AD60" i="4"/>
  <c r="AE60" i="4"/>
  <c r="AF60" i="4"/>
  <c r="AG60" i="4"/>
  <c r="AH60" i="4"/>
  <c r="AI60" i="4"/>
  <c r="AL60" i="4"/>
  <c r="AM60" i="4"/>
  <c r="AN60" i="4"/>
  <c r="AP60" i="4"/>
  <c r="AQ60" i="4"/>
  <c r="AR60" i="4"/>
  <c r="AF62" i="4"/>
  <c r="AG62" i="4"/>
  <c r="AJ62" i="4"/>
  <c r="AO62" i="4"/>
  <c r="AI66" i="4"/>
  <c r="AN66" i="4"/>
  <c r="AO66" i="4"/>
  <c r="BO11" i="2"/>
  <c r="AE24" i="4" l="1"/>
  <c r="AP64" i="4"/>
  <c r="AB24" i="4"/>
  <c r="AB29" i="4" s="1"/>
  <c r="AB64" i="4" s="1"/>
  <c r="AL64" i="4"/>
  <c r="AL68" i="4" s="1"/>
  <c r="AK66" i="4" s="1"/>
  <c r="AK68" i="4" s="1"/>
  <c r="AJ66" i="4" s="1"/>
  <c r="AB50" i="4"/>
  <c r="AF50" i="4"/>
  <c r="AI29" i="4"/>
  <c r="AE29" i="4"/>
  <c r="AH64" i="4"/>
  <c r="AR64" i="4"/>
  <c r="AR68" i="4" s="1"/>
  <c r="AJ50" i="4"/>
  <c r="AE50" i="4"/>
  <c r="AG50" i="4"/>
  <c r="AQ64" i="4"/>
  <c r="AQ68" i="4" s="1"/>
  <c r="AD64" i="4"/>
  <c r="AC64" i="4"/>
  <c r="AG24" i="4"/>
  <c r="AG29" i="4" s="1"/>
  <c r="AJ60" i="4"/>
  <c r="AO60" i="4"/>
  <c r="AN29" i="4"/>
  <c r="AN64" i="4" s="1"/>
  <c r="AN68" i="4" s="1"/>
  <c r="AF24" i="4"/>
  <c r="AF29" i="4" s="1"/>
  <c r="AM64" i="4"/>
  <c r="AM68" i="4" s="1"/>
  <c r="AI64" i="4"/>
  <c r="AI68" i="4" s="1"/>
  <c r="AJ29" i="4"/>
  <c r="AJ44" i="4"/>
  <c r="Z10" i="4"/>
  <c r="Y10" i="4" s="1"/>
  <c r="Y32" i="4"/>
  <c r="Y50" i="4" s="1"/>
  <c r="Z50" i="4"/>
  <c r="Y4" i="4"/>
  <c r="Z24" i="4"/>
  <c r="Z29" i="4" s="1"/>
  <c r="AO50" i="4"/>
  <c r="AJ24" i="4"/>
  <c r="AO24" i="4"/>
  <c r="AO29" i="4" s="1"/>
  <c r="BO16" i="2"/>
  <c r="BO5" i="2"/>
  <c r="AF64" i="4" l="1"/>
  <c r="AE64" i="4"/>
  <c r="AG64" i="4"/>
  <c r="AO64" i="4"/>
  <c r="AO68" i="4" s="1"/>
  <c r="AJ64" i="4"/>
  <c r="AJ68" i="4" s="1"/>
  <c r="Z64" i="4"/>
  <c r="Y24" i="4"/>
  <c r="Y29" i="4" s="1"/>
  <c r="Y64" i="4" s="1"/>
  <c r="AD66" i="4"/>
  <c r="AD68" i="4" s="1"/>
  <c r="AH66" i="4"/>
  <c r="AH68" i="4" s="1"/>
  <c r="AG66" i="4" s="1"/>
  <c r="AG68" i="4" l="1"/>
  <c r="AF66" i="4" s="1"/>
  <c r="AF68" i="4" s="1"/>
  <c r="AE66" i="4" s="1"/>
  <c r="AE68" i="4" s="1"/>
  <c r="Y66" i="4"/>
  <c r="AC66" i="4"/>
  <c r="AC68" i="4" s="1"/>
  <c r="AB66" i="4" s="1"/>
  <c r="AB68" i="4" s="1"/>
  <c r="AA66" i="4" s="1"/>
  <c r="AA68" i="4" s="1"/>
  <c r="Z66" i="4" s="1"/>
  <c r="Z68" i="4" s="1"/>
  <c r="Y68" i="4" s="1"/>
  <c r="X66" i="4" l="1"/>
  <c r="X68" i="4" s="1"/>
  <c r="T66" i="4"/>
  <c r="T68" i="4" s="1"/>
  <c r="O66" i="4" s="1"/>
  <c r="O68" i="4" s="1"/>
  <c r="I66" i="4" l="1"/>
  <c r="N66" i="4"/>
  <c r="L66" i="4" s="1"/>
  <c r="L68" i="4" s="1"/>
  <c r="W66" i="4"/>
  <c r="W68" i="4" s="1"/>
  <c r="V66" i="4" s="1"/>
  <c r="V68" i="4" s="1"/>
  <c r="U66" i="4" s="1"/>
  <c r="U68" i="4" s="1"/>
  <c r="S66" i="4" s="1"/>
  <c r="S68" i="4" s="1"/>
  <c r="I68" i="4" l="1"/>
  <c r="R66" i="4"/>
  <c r="R68" i="4" s="1"/>
  <c r="Q66" i="4" s="1"/>
  <c r="Q68" i="4" s="1"/>
  <c r="P66" i="4" s="1"/>
  <c r="P68" i="4" s="1"/>
  <c r="N68" i="4"/>
  <c r="M66" i="4" s="1"/>
  <c r="M68" i="4" s="1"/>
  <c r="K66" i="4" s="1"/>
  <c r="H68" i="4" l="1"/>
  <c r="D66" i="4"/>
  <c r="K68" i="4"/>
  <c r="J66" i="4" s="1"/>
  <c r="J68" i="4" s="1"/>
  <c r="G66" i="4" l="1"/>
  <c r="G68" i="4" s="1"/>
  <c r="C68" i="4"/>
  <c r="D24" i="4"/>
  <c r="D29" i="4" s="1"/>
  <c r="E24" i="4"/>
  <c r="E29" i="4" s="1"/>
  <c r="E50" i="4"/>
  <c r="D50" i="4"/>
  <c r="D60" i="4"/>
  <c r="E60" i="4"/>
  <c r="D64" i="4" l="1"/>
  <c r="D68" i="4" s="1"/>
  <c r="E64" i="4"/>
  <c r="E68" i="4" s="1"/>
</calcChain>
</file>

<file path=xl/comments1.xml><?xml version="1.0" encoding="utf-8"?>
<comments xmlns="http://schemas.openxmlformats.org/spreadsheetml/2006/main">
  <authors>
    <author>Cynthia Lee</author>
    <author>李曉芸</author>
  </authors>
  <commentList>
    <comment ref="BE5" authorId="0">
      <text>
        <r>
          <rPr>
            <b/>
            <sz val="9"/>
            <color indexed="81"/>
            <rFont val="Tahoma"/>
            <family val="2"/>
          </rPr>
          <t>Cynthia 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保持原樣。</t>
        </r>
      </text>
    </comment>
    <comment ref="BE16" authorId="0">
      <text>
        <r>
          <rPr>
            <b/>
            <sz val="9"/>
            <color indexed="81"/>
            <rFont val="Tahoma"/>
            <family val="2"/>
          </rPr>
          <t>Cynthia 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取消呈現</t>
        </r>
      </text>
    </comment>
    <comment ref="AJ23" authorId="1">
      <text>
        <r>
          <rPr>
            <b/>
            <sz val="9"/>
            <color indexed="81"/>
            <rFont val="細明體"/>
            <family val="3"/>
            <charset val="136"/>
          </rPr>
          <t>李曉芸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改成</t>
        </r>
        <r>
          <rPr>
            <sz val="9"/>
            <color indexed="81"/>
            <rFont val="Tahoma"/>
            <family val="2"/>
          </rPr>
          <t>0.06</t>
        </r>
      </text>
    </comment>
  </commentList>
</comments>
</file>

<file path=xl/sharedStrings.xml><?xml version="1.0" encoding="utf-8"?>
<sst xmlns="http://schemas.openxmlformats.org/spreadsheetml/2006/main" count="258" uniqueCount="220">
  <si>
    <t>COGS</t>
  </si>
  <si>
    <t>Inventory(Gross)</t>
  </si>
  <si>
    <t>Revenue(Net Sales)</t>
    <phoneticPr fontId="1" type="noConversion"/>
  </si>
  <si>
    <t>A/P</t>
    <phoneticPr fontId="1" type="noConversion"/>
  </si>
  <si>
    <t>A/R(Gross)</t>
    <phoneticPr fontId="1" type="noConversion"/>
  </si>
  <si>
    <t>Days of the Quarter</t>
    <phoneticPr fontId="1" type="noConversion"/>
  </si>
  <si>
    <t>Current Ratio</t>
    <phoneticPr fontId="1" type="noConversion"/>
  </si>
  <si>
    <t>A/P Turnover Days</t>
    <phoneticPr fontId="1" type="noConversion"/>
  </si>
  <si>
    <t>營業收入淨額</t>
  </si>
  <si>
    <t>銷貨成本</t>
  </si>
  <si>
    <t>銷貨毛利</t>
  </si>
  <si>
    <t>營業費用</t>
  </si>
  <si>
    <t>　　推銷費用</t>
  </si>
  <si>
    <t>　　管理費用</t>
  </si>
  <si>
    <t>　　研發費用</t>
  </si>
  <si>
    <t>營業費用合計</t>
  </si>
  <si>
    <t xml:space="preserve">每股盈餘 (元) </t>
  </si>
  <si>
    <t>2013年第一季</t>
    <phoneticPr fontId="1" type="noConversion"/>
  </si>
  <si>
    <t>2012年第一季</t>
    <phoneticPr fontId="1" type="noConversion"/>
  </si>
  <si>
    <t>2012年第四季</t>
    <phoneticPr fontId="1" type="noConversion"/>
  </si>
  <si>
    <t>(單位: 新台幣仟元；除每股盈餘外)</t>
    <phoneticPr fontId="1" type="noConversion"/>
  </si>
  <si>
    <t xml:space="preserve">           應收帳款及票據</t>
  </si>
  <si>
    <t xml:space="preserve">           存貨(淨額)</t>
  </si>
  <si>
    <t xml:space="preserve">           其他流動資產</t>
  </si>
  <si>
    <t xml:space="preserve">      流動資產合計</t>
  </si>
  <si>
    <t xml:space="preserve">      固定資產淨額</t>
  </si>
  <si>
    <t xml:space="preserve">      無形資產</t>
  </si>
  <si>
    <t xml:space="preserve">      其他資產</t>
  </si>
  <si>
    <t>資產總計</t>
  </si>
  <si>
    <t xml:space="preserve">      應付帳款與票據</t>
  </si>
  <si>
    <t xml:space="preserve">      其他流動負債</t>
  </si>
  <si>
    <t>負債總計</t>
  </si>
  <si>
    <t>股東權益總計</t>
  </si>
  <si>
    <t>重要指標:</t>
  </si>
  <si>
    <t xml:space="preserve">      流動比率</t>
  </si>
  <si>
    <t>(單位: 新台幣仟元；除重要指標外)</t>
    <phoneticPr fontId="1" type="noConversion"/>
  </si>
  <si>
    <t>擷取自資產負債表的科目：</t>
    <phoneticPr fontId="1" type="noConversion"/>
  </si>
  <si>
    <t>　本期稅前淨利（淨損）</t>
  </si>
  <si>
    <t>　　　折舊費用</t>
  </si>
  <si>
    <t>　　　攤銷費用</t>
  </si>
  <si>
    <t>　　　利息費用</t>
  </si>
  <si>
    <t>　　　利息收入</t>
  </si>
  <si>
    <t>　　　股份基礎給付酬勞成本</t>
  </si>
  <si>
    <t>　　　採用權益法認列之關聯企業及合資損失（利益）之份額</t>
  </si>
  <si>
    <t>　　　不動產、廠房及設備轉列費用數</t>
  </si>
  <si>
    <t>　　　處分投資損失（利益）</t>
  </si>
  <si>
    <t>　　　未實現外幣兌換損失（利益）</t>
  </si>
  <si>
    <t>　支付之利息</t>
  </si>
  <si>
    <t>　  退還（支付）之所得稅</t>
    <phoneticPr fontId="1" type="noConversion"/>
  </si>
  <si>
    <t>　取得備供出售金融資產</t>
  </si>
  <si>
    <t>　處分備供出售金融資產</t>
  </si>
  <si>
    <t>　取得不動產、廠房及設備</t>
  </si>
  <si>
    <t>　取得無形資產</t>
  </si>
  <si>
    <t>　投資活動之淨現金流入（流出）</t>
  </si>
  <si>
    <t>匯率變動對現金及約當現金之影響</t>
  </si>
  <si>
    <t>本期現金及約當現金增加（減少）數</t>
  </si>
  <si>
    <t>期初現金及約當現金餘額</t>
  </si>
  <si>
    <t>期末現金及約當現金餘額</t>
  </si>
  <si>
    <t xml:space="preserve">    營業活動之淨現金流入（流出）</t>
    <phoneticPr fontId="1" type="noConversion"/>
  </si>
  <si>
    <t>投資活動之現金流量:</t>
    <phoneticPr fontId="1" type="noConversion"/>
  </si>
  <si>
    <t>籌資活動之現金流量:</t>
    <phoneticPr fontId="1" type="noConversion"/>
  </si>
  <si>
    <t xml:space="preserve">    籌資活動之淨現金流入（流出）</t>
    <phoneticPr fontId="1" type="noConversion"/>
  </si>
  <si>
    <t>(單位: 新台幣仟元)</t>
    <phoneticPr fontId="1" type="noConversion"/>
  </si>
  <si>
    <t>　　　透過損益按公允價值衡量金融資產及負債之淨損失（利益）</t>
    <phoneticPr fontId="1" type="noConversion"/>
  </si>
  <si>
    <t>營業活動之現金流量:</t>
    <phoneticPr fontId="1" type="noConversion"/>
  </si>
  <si>
    <t xml:space="preserve">    與營業活動相關之資產及負債之淨變動（合計數）</t>
    <phoneticPr fontId="1" type="noConversion"/>
  </si>
  <si>
    <t xml:space="preserve">    營運產生之現金流入（流出）</t>
    <phoneticPr fontId="1" type="noConversion"/>
  </si>
  <si>
    <t xml:space="preserve">    調整科目: </t>
    <phoneticPr fontId="1" type="noConversion"/>
  </si>
  <si>
    <t>2013年第二季</t>
    <phoneticPr fontId="1" type="noConversion"/>
  </si>
  <si>
    <t>2012年第二季</t>
    <phoneticPr fontId="1" type="noConversion"/>
  </si>
  <si>
    <t>　取得採用權益法之投資</t>
    <phoneticPr fontId="1" type="noConversion"/>
  </si>
  <si>
    <t>　存出保證金(增加)減少</t>
    <phoneticPr fontId="1" type="noConversion"/>
  </si>
  <si>
    <t>　存入保證金(增加)減少</t>
    <phoneticPr fontId="1" type="noConversion"/>
  </si>
  <si>
    <t>2012年第二季</t>
    <phoneticPr fontId="1" type="noConversion"/>
  </si>
  <si>
    <t>2013年第三季</t>
    <phoneticPr fontId="1" type="noConversion"/>
  </si>
  <si>
    <t>2012年第三季</t>
    <phoneticPr fontId="1" type="noConversion"/>
  </si>
  <si>
    <t xml:space="preserve">    發放現金股利</t>
    <phoneticPr fontId="1" type="noConversion"/>
  </si>
  <si>
    <t>2013年第三季</t>
    <phoneticPr fontId="1" type="noConversion"/>
  </si>
  <si>
    <t>2012年第三季</t>
    <phoneticPr fontId="1" type="noConversion"/>
  </si>
  <si>
    <t>2013年第四季</t>
    <phoneticPr fontId="1" type="noConversion"/>
  </si>
  <si>
    <t>2012年第四季</t>
    <phoneticPr fontId="1" type="noConversion"/>
  </si>
  <si>
    <t>2013年第四季</t>
    <phoneticPr fontId="1" type="noConversion"/>
  </si>
  <si>
    <t>2013年全年</t>
    <phoneticPr fontId="1" type="noConversion"/>
  </si>
  <si>
    <t xml:space="preserve">            股利收入</t>
    <phoneticPr fontId="1" type="noConversion"/>
  </si>
  <si>
    <t xml:space="preserve">    對子公司之收購</t>
    <phoneticPr fontId="1" type="noConversion"/>
  </si>
  <si>
    <t>2012年第四季</t>
    <phoneticPr fontId="1" type="noConversion"/>
  </si>
  <si>
    <t xml:space="preserve">            無形資產損益(帳列什項支出項下)</t>
    <phoneticPr fontId="1" type="noConversion"/>
  </si>
  <si>
    <t>　　　處分不動產(含投資性不動產)、廠房及設備損失（利益）</t>
    <phoneticPr fontId="1" type="noConversion"/>
  </si>
  <si>
    <t>A/R(Net)</t>
    <phoneticPr fontId="1" type="noConversion"/>
  </si>
  <si>
    <t>A/R Turnover Days(Gross)</t>
    <phoneticPr fontId="1" type="noConversion"/>
  </si>
  <si>
    <t>A/R Turnover Days(Net)</t>
    <phoneticPr fontId="1" type="noConversion"/>
  </si>
  <si>
    <t xml:space="preserve">Inventory Turnover Days (Gross) </t>
    <phoneticPr fontId="1" type="noConversion"/>
  </si>
  <si>
    <t>Inventory Turnover Days (net)</t>
    <phoneticPr fontId="1" type="noConversion"/>
  </si>
  <si>
    <t>Inventory(net)</t>
    <phoneticPr fontId="1" type="noConversion"/>
  </si>
  <si>
    <t xml:space="preserve">      存貨(淨額)週轉天數</t>
    <phoneticPr fontId="1" type="noConversion"/>
  </si>
  <si>
    <t xml:space="preserve">      應收帳款(淨額)週轉天數</t>
    <phoneticPr fontId="1" type="noConversion"/>
  </si>
  <si>
    <t>2014年第一季</t>
    <phoneticPr fontId="1" type="noConversion"/>
  </si>
  <si>
    <t>　　　呆帳費用</t>
    <phoneticPr fontId="1" type="noConversion"/>
  </si>
  <si>
    <t>2014年第一季</t>
    <phoneticPr fontId="1" type="noConversion"/>
  </si>
  <si>
    <t>2014年第二季</t>
    <phoneticPr fontId="1" type="noConversion"/>
  </si>
  <si>
    <t>2014年第二季</t>
    <phoneticPr fontId="1" type="noConversion"/>
  </si>
  <si>
    <t>2014年第三季</t>
    <phoneticPr fontId="1" type="noConversion"/>
  </si>
  <si>
    <t>2014年第三季</t>
    <phoneticPr fontId="1" type="noConversion"/>
  </si>
  <si>
    <t xml:space="preserve">    收取之股利</t>
    <phoneticPr fontId="1" type="noConversion"/>
  </si>
  <si>
    <t>2014年第四季</t>
    <phoneticPr fontId="1" type="noConversion"/>
  </si>
  <si>
    <t>2014年全年</t>
    <phoneticPr fontId="1" type="noConversion"/>
  </si>
  <si>
    <t>2014年第四季</t>
    <phoneticPr fontId="1" type="noConversion"/>
  </si>
  <si>
    <t>　取得持有至到期日金融資產</t>
    <phoneticPr fontId="1" type="noConversion"/>
  </si>
  <si>
    <t>　取得以成本衡量金融資產</t>
    <phoneticPr fontId="1" type="noConversion"/>
  </si>
  <si>
    <t>2015年第一季</t>
    <phoneticPr fontId="1" type="noConversion"/>
  </si>
  <si>
    <t>　處分無活絡市場之債券投資</t>
    <phoneticPr fontId="1" type="noConversion"/>
  </si>
  <si>
    <t>2015年第二季</t>
    <phoneticPr fontId="1" type="noConversion"/>
  </si>
  <si>
    <t>2015年第二季</t>
    <phoneticPr fontId="1" type="noConversion"/>
  </si>
  <si>
    <t xml:space="preserve">            金融資產減損損失</t>
    <phoneticPr fontId="1" type="noConversion"/>
  </si>
  <si>
    <t xml:space="preserve">            非金融資產減損損失</t>
    <phoneticPr fontId="1" type="noConversion"/>
  </si>
  <si>
    <t xml:space="preserve">           現金、約當現金及有價金融商品投資</t>
    <phoneticPr fontId="1" type="noConversion"/>
  </si>
  <si>
    <t xml:space="preserve">      預付設備款(增加)減少</t>
    <phoneticPr fontId="1" type="noConversion"/>
  </si>
  <si>
    <t>2015年第三季</t>
    <phoneticPr fontId="1" type="noConversion"/>
  </si>
  <si>
    <t>2015年第三季</t>
    <phoneticPr fontId="1" type="noConversion"/>
  </si>
  <si>
    <t>2015年第四季</t>
    <phoneticPr fontId="1" type="noConversion"/>
  </si>
  <si>
    <t>2015年第四季</t>
    <phoneticPr fontId="1" type="noConversion"/>
  </si>
  <si>
    <t>2015年全年</t>
    <phoneticPr fontId="1" type="noConversion"/>
  </si>
  <si>
    <t xml:space="preserve">    員工購買庫藏股</t>
    <phoneticPr fontId="1" type="noConversion"/>
  </si>
  <si>
    <t xml:space="preserve">    庫藏股票買回成本</t>
    <phoneticPr fontId="1" type="noConversion"/>
  </si>
  <si>
    <t xml:space="preserve">      處分無形資產價款</t>
    <phoneticPr fontId="1" type="noConversion"/>
  </si>
  <si>
    <t xml:space="preserve">      處分其他資產價款</t>
    <phoneticPr fontId="1" type="noConversion"/>
  </si>
  <si>
    <t>營業淨利 (損)</t>
    <phoneticPr fontId="1" type="noConversion"/>
  </si>
  <si>
    <t>營業外收入及支出</t>
    <phoneticPr fontId="1" type="noConversion"/>
  </si>
  <si>
    <t>稅前淨利 (損)</t>
    <phoneticPr fontId="1" type="noConversion"/>
  </si>
  <si>
    <t>所得稅利益 (費用)</t>
    <phoneticPr fontId="1" type="noConversion"/>
  </si>
  <si>
    <t>本期淨利 (損)</t>
    <phoneticPr fontId="1" type="noConversion"/>
  </si>
  <si>
    <t xml:space="preserve">      非流動負債</t>
    <phoneticPr fontId="1" type="noConversion"/>
  </si>
  <si>
    <t>2016年第一季</t>
    <phoneticPr fontId="1" type="noConversion"/>
  </si>
  <si>
    <t>2015年第一季</t>
    <phoneticPr fontId="1" type="noConversion"/>
  </si>
  <si>
    <t>2016年第一季</t>
    <phoneticPr fontId="1" type="noConversion"/>
  </si>
  <si>
    <t>2016年第二季</t>
    <phoneticPr fontId="1" type="noConversion"/>
  </si>
  <si>
    <t>2016年第二季</t>
    <phoneticPr fontId="1" type="noConversion"/>
  </si>
  <si>
    <t>　處分不動產、廠房及設備價款</t>
    <phoneticPr fontId="1" type="noConversion"/>
  </si>
  <si>
    <t>2016年第三季</t>
    <phoneticPr fontId="1" type="noConversion"/>
  </si>
  <si>
    <t>2016年第三季</t>
    <phoneticPr fontId="1" type="noConversion"/>
  </si>
  <si>
    <t>2016年第四季</t>
    <phoneticPr fontId="1" type="noConversion"/>
  </si>
  <si>
    <t>2016年第四季</t>
    <phoneticPr fontId="1" type="noConversion"/>
  </si>
  <si>
    <t>2016年全年</t>
    <phoneticPr fontId="1" type="noConversion"/>
  </si>
  <si>
    <t>(單位: 新台幣仟元；除每股盈餘外)</t>
    <phoneticPr fontId="1" type="noConversion"/>
  </si>
  <si>
    <t>2015年</t>
    <phoneticPr fontId="1" type="noConversion"/>
  </si>
  <si>
    <t>2014年</t>
    <phoneticPr fontId="1" type="noConversion"/>
  </si>
  <si>
    <t>YoY</t>
    <phoneticPr fontId="1" type="noConversion"/>
  </si>
  <si>
    <t>營業淨利 (損)</t>
    <phoneticPr fontId="1" type="noConversion"/>
  </si>
  <si>
    <t>營業外收入及支出</t>
    <phoneticPr fontId="1" type="noConversion"/>
  </si>
  <si>
    <t>稅前淨利 (損)</t>
    <phoneticPr fontId="1" type="noConversion"/>
  </si>
  <si>
    <t>所得稅利益 (費用)</t>
    <phoneticPr fontId="1" type="noConversion"/>
  </si>
  <si>
    <t>本期淨利 (損)</t>
    <phoneticPr fontId="1" type="noConversion"/>
  </si>
  <si>
    <t>2016年</t>
    <phoneticPr fontId="1" type="noConversion"/>
  </si>
  <si>
    <t>2017年第一季</t>
    <phoneticPr fontId="1" type="noConversion"/>
  </si>
  <si>
    <t>2017年第一季</t>
    <phoneticPr fontId="1" type="noConversion"/>
  </si>
  <si>
    <t>　處分持有至到期日金融資產</t>
    <phoneticPr fontId="1" type="noConversion"/>
  </si>
  <si>
    <t>2017年第二季</t>
    <phoneticPr fontId="1" type="noConversion"/>
  </si>
  <si>
    <t>2017年第二季</t>
    <phoneticPr fontId="1" type="noConversion"/>
  </si>
  <si>
    <t>2017年第三季</t>
    <phoneticPr fontId="1" type="noConversion"/>
  </si>
  <si>
    <t>2017年第三季</t>
    <phoneticPr fontId="1" type="noConversion"/>
  </si>
  <si>
    <t>2017年</t>
    <phoneticPr fontId="1" type="noConversion"/>
  </si>
  <si>
    <t>2017年第四季</t>
    <phoneticPr fontId="1" type="noConversion"/>
  </si>
  <si>
    <t xml:space="preserve">      長期投資(含權益法之投資)</t>
    <phoneticPr fontId="1" type="noConversion"/>
  </si>
  <si>
    <t>2017年第四季</t>
    <phoneticPr fontId="1" type="noConversion"/>
  </si>
  <si>
    <t>2017年全年</t>
    <phoneticPr fontId="1" type="noConversion"/>
  </si>
  <si>
    <t>　收取之利息</t>
    <phoneticPr fontId="1" type="noConversion"/>
  </si>
  <si>
    <t>2018年第一季</t>
    <phoneticPr fontId="1" type="noConversion"/>
  </si>
  <si>
    <t>2018年第一季</t>
    <phoneticPr fontId="1" type="noConversion"/>
  </si>
  <si>
    <t xml:space="preserve">        預期信用減損損失</t>
    <phoneticPr fontId="1" type="noConversion"/>
  </si>
  <si>
    <t xml:space="preserve">            預期信用減損損失</t>
    <phoneticPr fontId="1" type="noConversion"/>
  </si>
  <si>
    <t xml:space="preserve">    處分按攤銷後成本衡量之金融資產</t>
    <phoneticPr fontId="1" type="noConversion"/>
  </si>
  <si>
    <t>2018年第二季</t>
    <phoneticPr fontId="1" type="noConversion"/>
  </si>
  <si>
    <t>2018年第二季</t>
    <phoneticPr fontId="1" type="noConversion"/>
  </si>
  <si>
    <t>2018年第三季</t>
    <phoneticPr fontId="1" type="noConversion"/>
  </si>
  <si>
    <t>2018年第三季</t>
    <phoneticPr fontId="1" type="noConversion"/>
  </si>
  <si>
    <t>2018年</t>
    <phoneticPr fontId="1" type="noConversion"/>
  </si>
  <si>
    <t>2018年第四季</t>
    <phoneticPr fontId="1" type="noConversion"/>
  </si>
  <si>
    <t>2018年全年</t>
    <phoneticPr fontId="1" type="noConversion"/>
  </si>
  <si>
    <t>2018年第四季</t>
    <phoneticPr fontId="1" type="noConversion"/>
  </si>
  <si>
    <t xml:space="preserve">      長期投資</t>
    <phoneticPr fontId="1" type="noConversion"/>
  </si>
  <si>
    <t xml:space="preserve">      非流動負債</t>
    <phoneticPr fontId="1" type="noConversion"/>
  </si>
  <si>
    <t xml:space="preserve">      應收帳款(淨額)週轉天數</t>
    <phoneticPr fontId="1" type="noConversion"/>
  </si>
  <si>
    <t xml:space="preserve">      存貨(淨額)週轉天數</t>
    <phoneticPr fontId="1" type="noConversion"/>
  </si>
  <si>
    <t>Revenue(Net Sales)</t>
    <phoneticPr fontId="1" type="noConversion"/>
  </si>
  <si>
    <t>A/R(Gross)</t>
    <phoneticPr fontId="1" type="noConversion"/>
  </si>
  <si>
    <t>A/R(Net)</t>
    <phoneticPr fontId="1" type="noConversion"/>
  </si>
  <si>
    <t>Days of the Quarter</t>
    <phoneticPr fontId="1" type="noConversion"/>
  </si>
  <si>
    <t>A/R Turnover Days(Gross)</t>
    <phoneticPr fontId="1" type="noConversion"/>
  </si>
  <si>
    <t>A/R Turnover Days(Net)</t>
    <phoneticPr fontId="1" type="noConversion"/>
  </si>
  <si>
    <t>Inventory(net)</t>
    <phoneticPr fontId="1" type="noConversion"/>
  </si>
  <si>
    <t xml:space="preserve">Inventory Turnover Days (Gross) </t>
    <phoneticPr fontId="1" type="noConversion"/>
  </si>
  <si>
    <t>Inventory Turnover Days (net)</t>
    <phoneticPr fontId="1" type="noConversion"/>
  </si>
  <si>
    <t>Current Ratio</t>
    <phoneticPr fontId="1" type="noConversion"/>
  </si>
  <si>
    <t>A/P</t>
    <phoneticPr fontId="1" type="noConversion"/>
  </si>
  <si>
    <t>A/P Turnover Days</t>
    <phoneticPr fontId="1" type="noConversion"/>
  </si>
  <si>
    <t>2019年第一季</t>
    <phoneticPr fontId="1" type="noConversion"/>
  </si>
  <si>
    <t>2019年第一季</t>
    <phoneticPr fontId="1" type="noConversion"/>
  </si>
  <si>
    <t>淨利 (損)歸屬於:</t>
    <phoneticPr fontId="1" type="noConversion"/>
  </si>
  <si>
    <t>本公司業主</t>
    <phoneticPr fontId="1" type="noConversion"/>
  </si>
  <si>
    <t>非控制權益</t>
    <phoneticPr fontId="1" type="noConversion"/>
  </si>
  <si>
    <t xml:space="preserve">  本公司業主權益總計</t>
    <phoneticPr fontId="1" type="noConversion"/>
  </si>
  <si>
    <t xml:space="preserve">  非控制權益</t>
    <phoneticPr fontId="1" type="noConversion"/>
  </si>
  <si>
    <t xml:space="preserve">    租賃本金償還</t>
    <phoneticPr fontId="1" type="noConversion"/>
  </si>
  <si>
    <t>2019年第二季</t>
    <phoneticPr fontId="1" type="noConversion"/>
  </si>
  <si>
    <t>2019年第二季</t>
    <phoneticPr fontId="1" type="noConversion"/>
  </si>
  <si>
    <t>QoQ</t>
    <phoneticPr fontId="1" type="noConversion"/>
  </si>
  <si>
    <t>YoY</t>
    <phoneticPr fontId="1" type="noConversion"/>
  </si>
  <si>
    <t>2018年H1</t>
    <phoneticPr fontId="1" type="noConversion"/>
  </si>
  <si>
    <t>2019年第三季</t>
    <phoneticPr fontId="1" type="noConversion"/>
  </si>
  <si>
    <t>2019年第三季</t>
    <phoneticPr fontId="1" type="noConversion"/>
  </si>
  <si>
    <t>2019年第四季</t>
    <phoneticPr fontId="1" type="noConversion"/>
  </si>
  <si>
    <t>2019年全年</t>
    <phoneticPr fontId="1" type="noConversion"/>
  </si>
  <si>
    <t>2019年第四季</t>
    <phoneticPr fontId="1" type="noConversion"/>
  </si>
  <si>
    <t xml:space="preserve">    非控制權益增加</t>
    <phoneticPr fontId="1" type="noConversion"/>
  </si>
  <si>
    <t xml:space="preserve">    處分子公司股權（未喪失控制力）</t>
    <phoneticPr fontId="1" type="noConversion"/>
  </si>
  <si>
    <t>2019年</t>
    <phoneticPr fontId="1" type="noConversion"/>
  </si>
  <si>
    <t>2020年第一季</t>
    <phoneticPr fontId="1" type="noConversion"/>
  </si>
  <si>
    <t>2020年第一季</t>
    <phoneticPr fontId="1" type="noConversion"/>
  </si>
  <si>
    <t>　取得無活絡市場之債券投資</t>
    <phoneticPr fontId="1" type="noConversion"/>
  </si>
  <si>
    <t xml:space="preserve">    取得按攤銷後成本衡量之金融資產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</si>
</sst>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* #,##0_-;\-* #,##0_-;_-* &quot;-&quot;??_-;_-@_-"/>
    <numFmt numFmtId="177" formatCode="0.00_);[Red]\(0.00\)"/>
    <numFmt numFmtId="178" formatCode="0_);[Red]\(0\)"/>
    <numFmt numFmtId="179" formatCode="0.0_);[Red]\(0.0\)"/>
    <numFmt numFmtId="180" formatCode="#,##0_);[Red]\(#,##0\)"/>
    <numFmt numFmtId="181" formatCode="_-* #,##0.0_-;\-* #,##0.0_-;_-* &quot;-&quot;??_-;_-@_-"/>
    <numFmt numFmtId="182" formatCode="#,##0_);\(#,##0\)"/>
    <numFmt numFmtId="183" formatCode="###0%;[Red]\-###0%"/>
    <numFmt numFmtId="184" formatCode="0.0%"/>
    <numFmt numFmtId="185" formatCode="#,##0.00_);\(#,##0.00\)"/>
  </numFmts>
  <fonts count="25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sz val="12"/>
      <color indexed="8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11"/>
      <color indexed="8"/>
      <name val="微軟正黑體"/>
      <family val="2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color rgb="FFFF0000"/>
      <name val="Calibri"/>
      <family val="2"/>
    </font>
    <font>
      <i/>
      <sz val="9"/>
      <color rgb="FF237763"/>
      <name val="微軟正黑體"/>
      <family val="2"/>
      <charset val="136"/>
    </font>
    <font>
      <i/>
      <sz val="9"/>
      <name val="微軟正黑體"/>
      <family val="2"/>
      <charset val="136"/>
    </font>
    <font>
      <sz val="12"/>
      <name val="新細明體"/>
      <family val="1"/>
      <charset val="136"/>
    </font>
    <font>
      <b/>
      <sz val="9"/>
      <color indexed="81"/>
      <name val="細明體"/>
      <family val="3"/>
      <charset val="136"/>
    </font>
    <font>
      <sz val="12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7" fillId="0" borderId="0"/>
    <xf numFmtId="0" fontId="7" fillId="0" borderId="0"/>
    <xf numFmtId="0" fontId="18" fillId="0" borderId="0">
      <alignment vertical="center"/>
    </xf>
    <xf numFmtId="0" fontId="8" fillId="0" borderId="0"/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21">
    <xf numFmtId="0" fontId="0" fillId="0" borderId="0" xfId="0">
      <alignment vertical="center"/>
    </xf>
    <xf numFmtId="0" fontId="3" fillId="0" borderId="2" xfId="0" applyFont="1" applyFill="1" applyBorder="1">
      <alignment vertical="center"/>
    </xf>
    <xf numFmtId="9" fontId="3" fillId="0" borderId="2" xfId="0" applyNumberFormat="1" applyFont="1" applyFill="1" applyBorder="1">
      <alignment vertical="center"/>
    </xf>
    <xf numFmtId="182" fontId="3" fillId="0" borderId="2" xfId="5" applyNumberFormat="1" applyFont="1" applyFill="1" applyBorder="1">
      <alignment vertical="center"/>
    </xf>
    <xf numFmtId="9" fontId="3" fillId="0" borderId="2" xfId="6" applyNumberFormat="1" applyFont="1" applyFill="1" applyBorder="1">
      <alignment vertical="center"/>
    </xf>
    <xf numFmtId="177" fontId="3" fillId="0" borderId="2" xfId="5" applyNumberFormat="1" applyFont="1" applyFill="1" applyBorder="1">
      <alignment vertical="center"/>
    </xf>
    <xf numFmtId="9" fontId="3" fillId="0" borderId="2" xfId="5" applyNumberFormat="1" applyFont="1" applyFill="1" applyBorder="1">
      <alignment vertical="center"/>
    </xf>
    <xf numFmtId="182" fontId="3" fillId="0" borderId="3" xfId="5" applyNumberFormat="1" applyFont="1" applyFill="1" applyBorder="1">
      <alignment vertical="center"/>
    </xf>
    <xf numFmtId="177" fontId="3" fillId="0" borderId="3" xfId="5" applyNumberFormat="1" applyFont="1" applyFill="1" applyBorder="1">
      <alignment vertical="center"/>
    </xf>
    <xf numFmtId="182" fontId="3" fillId="0" borderId="4" xfId="5" applyNumberFormat="1" applyFont="1" applyFill="1" applyBorder="1">
      <alignment vertical="center"/>
    </xf>
    <xf numFmtId="0" fontId="3" fillId="0" borderId="3" xfId="0" applyFont="1" applyFill="1" applyBorder="1">
      <alignment vertical="center"/>
    </xf>
    <xf numFmtId="177" fontId="3" fillId="0" borderId="4" xfId="5" applyNumberFormat="1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176" fontId="5" fillId="2" borderId="2" xfId="5" applyNumberFormat="1" applyFont="1" applyFill="1" applyBorder="1">
      <alignment vertical="center"/>
    </xf>
    <xf numFmtId="0" fontId="5" fillId="2" borderId="5" xfId="0" applyFont="1" applyFill="1" applyBorder="1">
      <alignment vertical="center"/>
    </xf>
    <xf numFmtId="176" fontId="5" fillId="2" borderId="5" xfId="5" applyNumberFormat="1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180" fontId="3" fillId="2" borderId="7" xfId="0" applyNumberFormat="1" applyFont="1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176" fontId="5" fillId="2" borderId="0" xfId="5" applyNumberFormat="1" applyFont="1" applyFill="1" applyBorder="1">
      <alignment vertical="center"/>
    </xf>
    <xf numFmtId="176" fontId="6" fillId="2" borderId="0" xfId="5" applyNumberFormat="1" applyFont="1" applyFill="1" applyBorder="1">
      <alignment vertical="center"/>
    </xf>
    <xf numFmtId="9" fontId="19" fillId="0" borderId="2" xfId="6" applyNumberFormat="1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176" fontId="5" fillId="2" borderId="6" xfId="5" applyNumberFormat="1" applyFont="1" applyFill="1" applyBorder="1">
      <alignment vertical="center"/>
    </xf>
    <xf numFmtId="176" fontId="5" fillId="2" borderId="0" xfId="5" applyNumberFormat="1" applyFont="1" applyFill="1" applyBorder="1" applyAlignment="1">
      <alignment horizontal="right" vertical="center"/>
    </xf>
    <xf numFmtId="181" fontId="5" fillId="2" borderId="0" xfId="5" applyNumberFormat="1" applyFont="1" applyFill="1" applyBorder="1" applyAlignment="1">
      <alignment horizontal="right" vertical="center"/>
    </xf>
    <xf numFmtId="176" fontId="5" fillId="2" borderId="8" xfId="5" applyNumberFormat="1" applyFont="1" applyFill="1" applyBorder="1">
      <alignment vertical="center"/>
    </xf>
    <xf numFmtId="176" fontId="5" fillId="2" borderId="7" xfId="5" applyNumberFormat="1" applyFont="1" applyFill="1" applyBorder="1">
      <alignment vertical="center"/>
    </xf>
    <xf numFmtId="176" fontId="5" fillId="2" borderId="9" xfId="5" applyNumberFormat="1" applyFont="1" applyFill="1" applyBorder="1">
      <alignment vertical="center"/>
    </xf>
    <xf numFmtId="176" fontId="5" fillId="2" borderId="10" xfId="5" applyNumberFormat="1" applyFont="1" applyFill="1" applyBorder="1">
      <alignment vertical="center"/>
    </xf>
    <xf numFmtId="176" fontId="6" fillId="2" borderId="11" xfId="5" applyNumberFormat="1" applyFont="1" applyFill="1" applyBorder="1">
      <alignment vertical="center"/>
    </xf>
    <xf numFmtId="176" fontId="5" fillId="2" borderId="12" xfId="5" applyNumberFormat="1" applyFont="1" applyFill="1" applyBorder="1">
      <alignment vertical="center"/>
    </xf>
    <xf numFmtId="176" fontId="6" fillId="2" borderId="13" xfId="5" applyNumberFormat="1" applyFont="1" applyFill="1" applyBorder="1">
      <alignment vertical="center"/>
    </xf>
    <xf numFmtId="176" fontId="5" fillId="2" borderId="6" xfId="0" applyNumberFormat="1" applyFont="1" applyFill="1" applyBorder="1">
      <alignment vertical="center"/>
    </xf>
    <xf numFmtId="178" fontId="5" fillId="2" borderId="7" xfId="5" applyNumberFormat="1" applyFont="1" applyFill="1" applyBorder="1" applyAlignment="1">
      <alignment horizontal="right" vertical="center"/>
    </xf>
    <xf numFmtId="179" fontId="5" fillId="2" borderId="7" xfId="5" applyNumberFormat="1" applyFont="1" applyFill="1" applyBorder="1" applyAlignment="1">
      <alignment horizontal="right" vertical="center"/>
    </xf>
    <xf numFmtId="176" fontId="5" fillId="2" borderId="6" xfId="5" applyNumberFormat="1" applyFont="1" applyFill="1" applyBorder="1" applyAlignment="1">
      <alignment horizontal="right" vertical="center"/>
    </xf>
    <xf numFmtId="181" fontId="5" fillId="2" borderId="6" xfId="5" applyNumberFormat="1" applyFont="1" applyFill="1" applyBorder="1" applyAlignment="1">
      <alignment horizontal="right" vertical="center"/>
    </xf>
    <xf numFmtId="176" fontId="6" fillId="2" borderId="14" xfId="5" applyNumberFormat="1" applyFont="1" applyFill="1" applyBorder="1">
      <alignment vertical="center"/>
    </xf>
    <xf numFmtId="176" fontId="5" fillId="2" borderId="7" xfId="0" applyNumberFormat="1" applyFont="1" applyFill="1" applyBorder="1">
      <alignment vertical="center"/>
    </xf>
    <xf numFmtId="176" fontId="5" fillId="2" borderId="7" xfId="5" applyNumberFormat="1" applyFont="1" applyFill="1" applyBorder="1" applyAlignment="1">
      <alignment horizontal="right" vertical="center"/>
    </xf>
    <xf numFmtId="181" fontId="5" fillId="2" borderId="7" xfId="5" applyNumberFormat="1" applyFont="1" applyFill="1" applyBorder="1" applyAlignment="1">
      <alignment horizontal="right" vertical="center"/>
    </xf>
    <xf numFmtId="176" fontId="6" fillId="2" borderId="1" xfId="5" applyNumberFormat="1" applyFont="1" applyFill="1" applyBorder="1">
      <alignment vertical="center"/>
    </xf>
    <xf numFmtId="179" fontId="5" fillId="2" borderId="6" xfId="5" applyNumberFormat="1" applyFont="1" applyFill="1" applyBorder="1" applyAlignment="1">
      <alignment horizontal="right" vertical="center"/>
    </xf>
    <xf numFmtId="178" fontId="5" fillId="2" borderId="0" xfId="5" applyNumberFormat="1" applyFont="1" applyFill="1" applyBorder="1" applyAlignment="1">
      <alignment horizontal="right" vertical="center"/>
    </xf>
    <xf numFmtId="179" fontId="5" fillId="2" borderId="0" xfId="5" applyNumberFormat="1" applyFont="1" applyFill="1" applyBorder="1" applyAlignment="1">
      <alignment horizontal="right" vertical="center"/>
    </xf>
    <xf numFmtId="0" fontId="20" fillId="0" borderId="2" xfId="0" applyFont="1" applyFill="1" applyBorder="1">
      <alignment vertical="center"/>
    </xf>
    <xf numFmtId="0" fontId="9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0" borderId="2" xfId="0" applyFont="1" applyFill="1" applyBorder="1" applyAlignment="1"/>
    <xf numFmtId="0" fontId="11" fillId="2" borderId="7" xfId="0" applyFont="1" applyFill="1" applyBorder="1">
      <alignment vertical="center"/>
    </xf>
    <xf numFmtId="0" fontId="12" fillId="2" borderId="7" xfId="0" applyFont="1" applyFill="1" applyBorder="1">
      <alignment vertical="center"/>
    </xf>
    <xf numFmtId="0" fontId="20" fillId="0" borderId="7" xfId="0" applyFont="1" applyFill="1" applyBorder="1">
      <alignment vertical="center"/>
    </xf>
    <xf numFmtId="31" fontId="12" fillId="2" borderId="15" xfId="0" applyNumberFormat="1" applyFont="1" applyFill="1" applyBorder="1" applyAlignment="1">
      <alignment horizontal="center" vertical="center"/>
    </xf>
    <xf numFmtId="176" fontId="11" fillId="2" borderId="2" xfId="5" applyNumberFormat="1" applyFont="1" applyFill="1" applyBorder="1">
      <alignment vertical="center"/>
    </xf>
    <xf numFmtId="176" fontId="12" fillId="2" borderId="2" xfId="5" applyNumberFormat="1" applyFont="1" applyFill="1" applyBorder="1">
      <alignment vertical="center"/>
    </xf>
    <xf numFmtId="37" fontId="13" fillId="0" borderId="2" xfId="4" applyNumberFormat="1" applyFont="1" applyFill="1" applyBorder="1" applyAlignment="1" applyProtection="1">
      <alignment horizontal="left"/>
    </xf>
    <xf numFmtId="0" fontId="12" fillId="0" borderId="0" xfId="0" applyFont="1" applyAlignment="1">
      <alignment horizontal="left" vertical="center"/>
    </xf>
    <xf numFmtId="0" fontId="14" fillId="0" borderId="2" xfId="0" applyFont="1" applyFill="1" applyBorder="1" applyAlignment="1">
      <alignment vertical="center"/>
    </xf>
    <xf numFmtId="37" fontId="14" fillId="0" borderId="2" xfId="4" applyNumberFormat="1" applyFont="1" applyFill="1" applyBorder="1" applyAlignment="1" applyProtection="1">
      <alignment horizontal="left" vertical="center"/>
    </xf>
    <xf numFmtId="0" fontId="14" fillId="0" borderId="2" xfId="4" applyFont="1" applyFill="1" applyBorder="1" applyAlignment="1">
      <alignment vertical="center"/>
    </xf>
    <xf numFmtId="182" fontId="4" fillId="0" borderId="16" xfId="5" applyNumberFormat="1" applyFont="1" applyFill="1" applyBorder="1">
      <alignment vertical="center"/>
    </xf>
    <xf numFmtId="182" fontId="3" fillId="0" borderId="17" xfId="5" applyNumberFormat="1" applyFont="1" applyFill="1" applyBorder="1">
      <alignment vertical="center"/>
    </xf>
    <xf numFmtId="182" fontId="4" fillId="0" borderId="18" xfId="5" applyNumberFormat="1" applyFont="1" applyFill="1" applyBorder="1">
      <alignment vertical="center"/>
    </xf>
    <xf numFmtId="176" fontId="6" fillId="2" borderId="5" xfId="5" applyNumberFormat="1" applyFont="1" applyFill="1" applyBorder="1">
      <alignment vertical="center"/>
    </xf>
    <xf numFmtId="9" fontId="3" fillId="0" borderId="2" xfId="6" applyFont="1" applyFill="1" applyBorder="1">
      <alignment vertical="center"/>
    </xf>
    <xf numFmtId="9" fontId="19" fillId="0" borderId="2" xfId="6" applyFont="1" applyFill="1" applyBorder="1">
      <alignment vertical="center"/>
    </xf>
    <xf numFmtId="0" fontId="12" fillId="2" borderId="15" xfId="0" applyFont="1" applyFill="1" applyBorder="1" applyAlignment="1">
      <alignment horizontal="center" vertical="center"/>
    </xf>
    <xf numFmtId="182" fontId="4" fillId="0" borderId="20" xfId="5" applyNumberFormat="1" applyFont="1" applyFill="1" applyBorder="1">
      <alignment vertical="center"/>
    </xf>
    <xf numFmtId="182" fontId="3" fillId="0" borderId="21" xfId="5" applyNumberFormat="1" applyFont="1" applyFill="1" applyBorder="1">
      <alignment vertical="center"/>
    </xf>
    <xf numFmtId="0" fontId="3" fillId="0" borderId="22" xfId="0" applyFont="1" applyFill="1" applyBorder="1" applyAlignment="1">
      <alignment horizontal="center" vertical="center"/>
    </xf>
    <xf numFmtId="183" fontId="3" fillId="0" borderId="3" xfId="6" applyNumberFormat="1" applyFont="1" applyFill="1" applyBorder="1" applyAlignment="1">
      <alignment horizontal="right" vertical="center"/>
    </xf>
    <xf numFmtId="178" fontId="5" fillId="3" borderId="7" xfId="5" applyNumberFormat="1" applyFont="1" applyFill="1" applyBorder="1" applyAlignment="1">
      <alignment horizontal="right" vertical="center"/>
    </xf>
    <xf numFmtId="176" fontId="10" fillId="2" borderId="2" xfId="5" applyNumberFormat="1" applyFont="1" applyFill="1" applyBorder="1">
      <alignment vertical="center"/>
    </xf>
    <xf numFmtId="176" fontId="9" fillId="2" borderId="2" xfId="5" applyNumberFormat="1" applyFont="1" applyFill="1" applyBorder="1">
      <alignment vertical="center"/>
    </xf>
    <xf numFmtId="0" fontId="10" fillId="2" borderId="0" xfId="0" applyFont="1" applyFill="1">
      <alignment vertical="center"/>
    </xf>
    <xf numFmtId="176" fontId="3" fillId="2" borderId="2" xfId="5" applyNumberFormat="1" applyFont="1" applyFill="1" applyBorder="1">
      <alignment vertical="center"/>
    </xf>
    <xf numFmtId="184" fontId="3" fillId="0" borderId="2" xfId="0" applyNumberFormat="1" applyFont="1" applyFill="1" applyBorder="1">
      <alignment vertical="center"/>
    </xf>
    <xf numFmtId="176" fontId="5" fillId="0" borderId="6" xfId="5" applyNumberFormat="1" applyFont="1" applyFill="1" applyBorder="1">
      <alignment vertical="center"/>
    </xf>
    <xf numFmtId="182" fontId="3" fillId="0" borderId="24" xfId="5" applyNumberFormat="1" applyFont="1" applyFill="1" applyBorder="1">
      <alignment vertical="center"/>
    </xf>
    <xf numFmtId="185" fontId="3" fillId="0" borderId="4" xfId="5" applyNumberFormat="1" applyFont="1" applyFill="1" applyBorder="1">
      <alignment vertical="center"/>
    </xf>
    <xf numFmtId="183" fontId="3" fillId="0" borderId="3" xfId="6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9" fontId="3" fillId="0" borderId="2" xfId="6" applyFont="1" applyFill="1" applyBorder="1" applyAlignment="1">
      <alignment horizontal="center" vertical="center"/>
    </xf>
    <xf numFmtId="9" fontId="3" fillId="0" borderId="2" xfId="6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1" fillId="0" borderId="2" xfId="0" applyFont="1" applyFill="1" applyBorder="1">
      <alignment vertical="center"/>
    </xf>
    <xf numFmtId="0" fontId="22" fillId="0" borderId="2" xfId="0" applyFont="1" applyBorder="1">
      <alignment vertical="center"/>
    </xf>
    <xf numFmtId="0" fontId="22" fillId="0" borderId="2" xfId="0" applyFont="1" applyBorder="1" applyAlignment="1">
      <alignment horizontal="center" vertical="center"/>
    </xf>
    <xf numFmtId="0" fontId="10" fillId="2" borderId="2" xfId="5" applyNumberFormat="1" applyFont="1" applyFill="1" applyBorder="1">
      <alignment vertical="center"/>
    </xf>
    <xf numFmtId="0" fontId="10" fillId="2" borderId="7" xfId="0" applyFont="1" applyFill="1" applyBorder="1">
      <alignment vertical="center"/>
    </xf>
    <xf numFmtId="0" fontId="9" fillId="0" borderId="19" xfId="0" applyFont="1" applyFill="1" applyBorder="1" applyAlignment="1">
      <alignment horizontal="center" vertical="center"/>
    </xf>
    <xf numFmtId="9" fontId="19" fillId="0" borderId="2" xfId="6" applyFont="1" applyFill="1" applyBorder="1" applyAlignment="1">
      <alignment horizontal="center" vertical="center"/>
    </xf>
    <xf numFmtId="176" fontId="11" fillId="0" borderId="2" xfId="5" applyNumberFormat="1" applyFont="1" applyFill="1" applyBorder="1">
      <alignment vertical="center"/>
    </xf>
    <xf numFmtId="178" fontId="3" fillId="0" borderId="3" xfId="5" applyNumberFormat="1" applyFont="1" applyFill="1" applyBorder="1">
      <alignment vertical="center"/>
    </xf>
    <xf numFmtId="176" fontId="5" fillId="2" borderId="20" xfId="5" applyNumberFormat="1" applyFont="1" applyFill="1" applyBorder="1">
      <alignment vertical="center"/>
    </xf>
    <xf numFmtId="0" fontId="24" fillId="0" borderId="2" xfId="0" applyFont="1" applyFill="1" applyBorder="1" applyAlignment="1">
      <alignment vertical="center"/>
    </xf>
    <xf numFmtId="182" fontId="5" fillId="2" borderId="7" xfId="0" applyNumberFormat="1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76" fontId="5" fillId="0" borderId="7" xfId="5" applyNumberFormat="1" applyFont="1" applyFill="1" applyBorder="1">
      <alignment vertical="center"/>
    </xf>
    <xf numFmtId="176" fontId="5" fillId="0" borderId="2" xfId="5" applyNumberFormat="1" applyFont="1" applyFill="1" applyBorder="1">
      <alignment vertical="center"/>
    </xf>
    <xf numFmtId="176" fontId="5" fillId="0" borderId="0" xfId="5" applyNumberFormat="1" applyFont="1" applyFill="1" applyBorder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2" fillId="2" borderId="10" xfId="0" applyFont="1" applyFill="1" applyBorder="1">
      <alignment vertical="center"/>
    </xf>
    <xf numFmtId="0" fontId="11" fillId="2" borderId="6" xfId="0" applyFont="1" applyFill="1" applyBorder="1">
      <alignment vertical="center"/>
    </xf>
    <xf numFmtId="0" fontId="12" fillId="2" borderId="6" xfId="0" applyFont="1" applyFill="1" applyBorder="1">
      <alignment vertical="center"/>
    </xf>
    <xf numFmtId="0" fontId="11" fillId="2" borderId="10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11" fillId="2" borderId="12" xfId="0" applyFont="1" applyFill="1" applyBorder="1">
      <alignment vertical="center"/>
    </xf>
    <xf numFmtId="0" fontId="10" fillId="2" borderId="10" xfId="0" applyFont="1" applyFill="1" applyBorder="1">
      <alignment vertical="center"/>
    </xf>
    <xf numFmtId="180" fontId="3" fillId="2" borderId="6" xfId="0" applyNumberFormat="1" applyFont="1" applyFill="1" applyBorder="1">
      <alignment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</cellXfs>
  <cellStyles count="9">
    <cellStyle name="一般" xfId="0" builtinId="0"/>
    <cellStyle name="一般 11" xfId="1"/>
    <cellStyle name="一般 2" xfId="2"/>
    <cellStyle name="一般 2 2 3" xfId="3"/>
    <cellStyle name="一般_CF" xfId="4"/>
    <cellStyle name="千分位" xfId="5" builtinId="3"/>
    <cellStyle name="百分比" xfId="6" builtinId="5"/>
    <cellStyle name="貨幣 2 2" xfId="7"/>
    <cellStyle name="貨幣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36</xdr:col>
      <xdr:colOff>60325</xdr:colOff>
      <xdr:row>1</xdr:row>
      <xdr:rowOff>57150</xdr:rowOff>
    </xdr:to>
    <xdr:pic>
      <xdr:nvPicPr>
        <xdr:cNvPr id="2" name="圖片 1" descr="pagebotto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07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22227</xdr:rowOff>
    </xdr:from>
    <xdr:to>
      <xdr:col>15</xdr:col>
      <xdr:colOff>152400</xdr:colOff>
      <xdr:row>1</xdr:row>
      <xdr:rowOff>76444</xdr:rowOff>
    </xdr:to>
    <xdr:sp macro="" textlink="">
      <xdr:nvSpPr>
        <xdr:cNvPr id="3" name="文字方塊 2"/>
        <xdr:cNvSpPr txBox="1"/>
      </xdr:nvSpPr>
      <xdr:spPr>
        <a:xfrm>
          <a:off x="0" y="22227"/>
          <a:ext cx="5918200" cy="270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zh-TW" altLang="en-US" sz="1200" b="1">
              <a:solidFill>
                <a:schemeClr val="bg1"/>
              </a:solidFill>
              <a:latin typeface="微軟正黑體" pitchFamily="34" charset="-120"/>
              <a:ea typeface="微軟正黑體" pitchFamily="34" charset="-120"/>
            </a:rPr>
            <a:t>簡明合併損益表</a:t>
          </a:r>
        </a:p>
      </xdr:txBody>
    </xdr:sp>
    <xdr:clientData/>
  </xdr:twoCellAnchor>
  <xdr:twoCellAnchor editAs="oneCell">
    <xdr:from>
      <xdr:col>0</xdr:col>
      <xdr:colOff>47625</xdr:colOff>
      <xdr:row>1</xdr:row>
      <xdr:rowOff>85725</xdr:rowOff>
    </xdr:from>
    <xdr:to>
      <xdr:col>0</xdr:col>
      <xdr:colOff>1047750</xdr:colOff>
      <xdr:row>1</xdr:row>
      <xdr:rowOff>714375</xdr:rowOff>
    </xdr:to>
    <xdr:pic>
      <xdr:nvPicPr>
        <xdr:cNvPr id="4" name="圖片 2" descr="ali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01625"/>
          <a:ext cx="1000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190500</xdr:rowOff>
    </xdr:from>
    <xdr:to>
      <xdr:col>45</xdr:col>
      <xdr:colOff>441325</xdr:colOff>
      <xdr:row>24</xdr:row>
      <xdr:rowOff>38100</xdr:rowOff>
    </xdr:to>
    <xdr:pic>
      <xdr:nvPicPr>
        <xdr:cNvPr id="5" name="圖片 3" descr="pagebotto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0"/>
          <a:ext cx="248888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86</xdr:col>
      <xdr:colOff>273050</xdr:colOff>
      <xdr:row>0</xdr:row>
      <xdr:rowOff>266700</xdr:rowOff>
    </xdr:to>
    <xdr:pic>
      <xdr:nvPicPr>
        <xdr:cNvPr id="2905" name="圖片 1" descr="pagebotto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02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323850</xdr:rowOff>
    </xdr:from>
    <xdr:to>
      <xdr:col>0</xdr:col>
      <xdr:colOff>1057275</xdr:colOff>
      <xdr:row>0</xdr:row>
      <xdr:rowOff>952500</xdr:rowOff>
    </xdr:to>
    <xdr:pic>
      <xdr:nvPicPr>
        <xdr:cNvPr id="2906" name="圖片 2" descr="ali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23850"/>
          <a:ext cx="1000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95</xdr:col>
      <xdr:colOff>654050</xdr:colOff>
      <xdr:row>27</xdr:row>
      <xdr:rowOff>66675</xdr:rowOff>
    </xdr:to>
    <xdr:pic>
      <xdr:nvPicPr>
        <xdr:cNvPr id="2907" name="圖片 3" descr="pagebotto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5350"/>
          <a:ext cx="27098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3177</xdr:rowOff>
    </xdr:from>
    <xdr:to>
      <xdr:col>57</xdr:col>
      <xdr:colOff>0</xdr:colOff>
      <xdr:row>0</xdr:row>
      <xdr:rowOff>266944</xdr:rowOff>
    </xdr:to>
    <xdr:sp macro="" textlink="">
      <xdr:nvSpPr>
        <xdr:cNvPr id="5" name="文字方塊 4"/>
        <xdr:cNvSpPr txBox="1"/>
      </xdr:nvSpPr>
      <xdr:spPr>
        <a:xfrm>
          <a:off x="0" y="9527"/>
          <a:ext cx="7705725" cy="2476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zh-TW" altLang="en-US" sz="1200" b="1">
              <a:solidFill>
                <a:schemeClr val="bg1"/>
              </a:solidFill>
              <a:latin typeface="微軟正黑體" pitchFamily="34" charset="-120"/>
              <a:ea typeface="微軟正黑體" pitchFamily="34" charset="-120"/>
            </a:rPr>
            <a:t>簡明合併損益表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32</xdr:col>
      <xdr:colOff>301625</xdr:colOff>
      <xdr:row>0</xdr:row>
      <xdr:rowOff>266700</xdr:rowOff>
    </xdr:to>
    <xdr:pic>
      <xdr:nvPicPr>
        <xdr:cNvPr id="2" name="圖片 1" descr="pagebotto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81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276225</xdr:rowOff>
    </xdr:from>
    <xdr:to>
      <xdr:col>0</xdr:col>
      <xdr:colOff>1028700</xdr:colOff>
      <xdr:row>0</xdr:row>
      <xdr:rowOff>904875</xdr:rowOff>
    </xdr:to>
    <xdr:pic>
      <xdr:nvPicPr>
        <xdr:cNvPr id="3" name="圖片 2" descr="ali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76225"/>
          <a:ext cx="1000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33</xdr:col>
      <xdr:colOff>158750</xdr:colOff>
      <xdr:row>50</xdr:row>
      <xdr:rowOff>66675</xdr:rowOff>
    </xdr:to>
    <xdr:pic>
      <xdr:nvPicPr>
        <xdr:cNvPr id="4" name="圖片 3" descr="pagebotto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72750"/>
          <a:ext cx="1942465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247650</xdr:rowOff>
    </xdr:to>
    <xdr:sp macro="" textlink="">
      <xdr:nvSpPr>
        <xdr:cNvPr id="5" name="文字方塊 4"/>
        <xdr:cNvSpPr txBox="1"/>
      </xdr:nvSpPr>
      <xdr:spPr>
        <a:xfrm>
          <a:off x="0" y="0"/>
          <a:ext cx="91376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zh-TW" altLang="en-US" sz="1200" b="1" i="0" u="none" strike="noStrike">
              <a:solidFill>
                <a:schemeClr val="bg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簡明合併資產負債表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86</xdr:col>
      <xdr:colOff>8255</xdr:colOff>
      <xdr:row>0</xdr:row>
      <xdr:rowOff>198120</xdr:rowOff>
    </xdr:to>
    <xdr:pic>
      <xdr:nvPicPr>
        <xdr:cNvPr id="3926" name="圖片 1" descr="pagebotto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93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276225</xdr:rowOff>
    </xdr:from>
    <xdr:to>
      <xdr:col>0</xdr:col>
      <xdr:colOff>1028700</xdr:colOff>
      <xdr:row>0</xdr:row>
      <xdr:rowOff>356235</xdr:rowOff>
    </xdr:to>
    <xdr:pic>
      <xdr:nvPicPr>
        <xdr:cNvPr id="3927" name="圖片 2" descr="ali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76225"/>
          <a:ext cx="1000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185420</xdr:rowOff>
    </xdr:from>
    <xdr:to>
      <xdr:col>86</xdr:col>
      <xdr:colOff>619760</xdr:colOff>
      <xdr:row>53</xdr:row>
      <xdr:rowOff>55245</xdr:rowOff>
    </xdr:to>
    <xdr:pic>
      <xdr:nvPicPr>
        <xdr:cNvPr id="3928" name="圖片 3" descr="pagebotto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88370"/>
          <a:ext cx="1943481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61</xdr:col>
      <xdr:colOff>0</xdr:colOff>
      <xdr:row>0</xdr:row>
      <xdr:rowOff>247650</xdr:rowOff>
    </xdr:to>
    <xdr:sp macro="" textlink="">
      <xdr:nvSpPr>
        <xdr:cNvPr id="5" name="文字方塊 4"/>
        <xdr:cNvSpPr txBox="1"/>
      </xdr:nvSpPr>
      <xdr:spPr>
        <a:xfrm>
          <a:off x="0" y="0"/>
          <a:ext cx="70389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zh-TW" altLang="en-US" sz="1200" b="1" i="0" u="none" strike="noStrike">
              <a:solidFill>
                <a:schemeClr val="bg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簡明合併資產負債表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159</xdr:col>
      <xdr:colOff>259715</xdr:colOff>
      <xdr:row>1</xdr:row>
      <xdr:rowOff>7620</xdr:rowOff>
    </xdr:to>
    <xdr:pic>
      <xdr:nvPicPr>
        <xdr:cNvPr id="6" name="圖片 5" descr="pagebotto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839725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276225</xdr:rowOff>
    </xdr:from>
    <xdr:to>
      <xdr:col>0</xdr:col>
      <xdr:colOff>1028700</xdr:colOff>
      <xdr:row>1</xdr:row>
      <xdr:rowOff>5715</xdr:rowOff>
    </xdr:to>
    <xdr:pic>
      <xdr:nvPicPr>
        <xdr:cNvPr id="7" name="圖片 6" descr="ali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0025"/>
          <a:ext cx="1000125" cy="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61</xdr:col>
      <xdr:colOff>0</xdr:colOff>
      <xdr:row>0</xdr:row>
      <xdr:rowOff>247650</xdr:rowOff>
    </xdr:to>
    <xdr:sp macro="" textlink="">
      <xdr:nvSpPr>
        <xdr:cNvPr id="9" name="文字方塊 8"/>
        <xdr:cNvSpPr txBox="1"/>
      </xdr:nvSpPr>
      <xdr:spPr>
        <a:xfrm>
          <a:off x="0" y="0"/>
          <a:ext cx="6019800" cy="194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zh-TW" altLang="en-US" sz="1200" b="1" i="0" u="none" strike="noStrike">
              <a:solidFill>
                <a:schemeClr val="bg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簡明合併資產負債表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276225</xdr:rowOff>
    </xdr:from>
    <xdr:to>
      <xdr:col>0</xdr:col>
      <xdr:colOff>1028700</xdr:colOff>
      <xdr:row>0</xdr:row>
      <xdr:rowOff>904875</xdr:rowOff>
    </xdr:to>
    <xdr:pic>
      <xdr:nvPicPr>
        <xdr:cNvPr id="4736" name="圖片 5" descr="ali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009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60</xdr:col>
      <xdr:colOff>200025</xdr:colOff>
      <xdr:row>0</xdr:row>
      <xdr:rowOff>266700</xdr:rowOff>
    </xdr:to>
    <xdr:pic>
      <xdr:nvPicPr>
        <xdr:cNvPr id="4737" name="圖片 4" descr="pagebottom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40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247650</xdr:rowOff>
    </xdr:to>
    <xdr:sp macro="" textlink="">
      <xdr:nvSpPr>
        <xdr:cNvPr id="7" name="文字方塊 6"/>
        <xdr:cNvSpPr txBox="1"/>
      </xdr:nvSpPr>
      <xdr:spPr>
        <a:xfrm>
          <a:off x="0" y="0"/>
          <a:ext cx="73818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zh-TW" altLang="en-US" sz="1200" b="1" i="0" u="none" strike="noStrike">
              <a:solidFill>
                <a:schemeClr val="bg1"/>
              </a:solidFill>
              <a:effectLst/>
              <a:latin typeface="微軟正黑體" pitchFamily="34" charset="-120"/>
              <a:ea typeface="微軟正黑體" pitchFamily="34" charset="-120"/>
              <a:cs typeface="+mn-cs"/>
            </a:rPr>
            <a:t>合併簡明現金流量變動表</a:t>
          </a:r>
          <a:endParaRPr lang="zh-TW" altLang="en-US" sz="1200" b="1">
            <a:solidFill>
              <a:schemeClr val="bg1"/>
            </a:solidFill>
            <a:latin typeface="微軟正黑體" pitchFamily="34" charset="-120"/>
            <a:ea typeface="微軟正黑體" pitchFamily="34" charset="-12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~1.HUA/AppData/Local/Temp/notesC9812B/4Q15(CH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簡明合併損益表"/>
      <sheetName val="季度簡明合併損益表"/>
      <sheetName val="年度簡明合併資產負債表"/>
      <sheetName val="季度簡明合併資產負債表"/>
      <sheetName val="簡明現金流量變動表"/>
    </sheetNames>
    <sheetDataSet>
      <sheetData sheetId="0"/>
      <sheetData sheetId="1">
        <row r="3">
          <cell r="B3">
            <v>1110908</v>
          </cell>
          <cell r="D3">
            <v>952310</v>
          </cell>
          <cell r="F3">
            <v>658485</v>
          </cell>
          <cell r="H3">
            <v>909890</v>
          </cell>
          <cell r="J3">
            <v>1126645</v>
          </cell>
          <cell r="L3">
            <v>1395830</v>
          </cell>
          <cell r="N3">
            <v>1016890</v>
          </cell>
          <cell r="P3">
            <v>1108030</v>
          </cell>
          <cell r="R3">
            <v>1280595</v>
          </cell>
          <cell r="T3">
            <v>1058707</v>
          </cell>
          <cell r="V3">
            <v>955183</v>
          </cell>
          <cell r="X3">
            <v>861099</v>
          </cell>
        </row>
        <row r="4">
          <cell r="B4">
            <v>-646306</v>
          </cell>
          <cell r="D4">
            <v>-547225</v>
          </cell>
          <cell r="F4">
            <v>-403323</v>
          </cell>
          <cell r="H4">
            <v>-530090</v>
          </cell>
          <cell r="J4">
            <v>-685726</v>
          </cell>
          <cell r="L4">
            <v>-798154</v>
          </cell>
          <cell r="N4">
            <v>-542663</v>
          </cell>
          <cell r="P4">
            <v>-558453</v>
          </cell>
          <cell r="R4">
            <v>-667492</v>
          </cell>
          <cell r="T4">
            <v>-617622</v>
          </cell>
          <cell r="V4">
            <v>-519202</v>
          </cell>
          <cell r="X4">
            <v>-473059</v>
          </cell>
        </row>
        <row r="5">
          <cell r="B5">
            <v>464602</v>
          </cell>
          <cell r="D5">
            <v>405085</v>
          </cell>
          <cell r="F5">
            <v>255162</v>
          </cell>
          <cell r="H5">
            <v>379800</v>
          </cell>
          <cell r="J5">
            <v>440919</v>
          </cell>
          <cell r="L5">
            <v>597676</v>
          </cell>
          <cell r="N5">
            <v>474227</v>
          </cell>
          <cell r="P5">
            <v>549577</v>
          </cell>
          <cell r="R5">
            <v>613103</v>
          </cell>
          <cell r="T5">
            <v>441085</v>
          </cell>
          <cell r="V5">
            <v>435981</v>
          </cell>
          <cell r="X5">
            <v>388040</v>
          </cell>
        </row>
        <row r="7">
          <cell r="B7">
            <v>-74961</v>
          </cell>
          <cell r="D7">
            <v>-73794</v>
          </cell>
          <cell r="F7">
            <v>-60269</v>
          </cell>
          <cell r="H7">
            <v>-65640</v>
          </cell>
          <cell r="J7">
            <v>-85182</v>
          </cell>
          <cell r="L7">
            <v>-104663</v>
          </cell>
          <cell r="N7">
            <v>-80635</v>
          </cell>
          <cell r="P7">
            <v>-87385</v>
          </cell>
          <cell r="R7">
            <v>-84610</v>
          </cell>
          <cell r="T7">
            <v>-62863</v>
          </cell>
          <cell r="V7">
            <v>-38651</v>
          </cell>
          <cell r="X7">
            <v>-72188</v>
          </cell>
        </row>
        <row r="8">
          <cell r="B8">
            <v>-80371</v>
          </cell>
          <cell r="D8">
            <v>-66866</v>
          </cell>
          <cell r="F8">
            <v>-76032</v>
          </cell>
          <cell r="H8">
            <v>-71040</v>
          </cell>
          <cell r="J8">
            <v>-81377</v>
          </cell>
          <cell r="L8">
            <v>-78543</v>
          </cell>
          <cell r="N8">
            <v>-73340</v>
          </cell>
          <cell r="P8">
            <v>-89030</v>
          </cell>
          <cell r="R8">
            <v>-125653</v>
          </cell>
          <cell r="T8">
            <v>-100274</v>
          </cell>
          <cell r="V8">
            <v>-99303</v>
          </cell>
          <cell r="X8">
            <v>-77999</v>
          </cell>
        </row>
        <row r="9">
          <cell r="B9">
            <v>-307904</v>
          </cell>
          <cell r="D9">
            <v>-303392</v>
          </cell>
          <cell r="F9">
            <v>-286553</v>
          </cell>
          <cell r="H9">
            <v>-260953</v>
          </cell>
          <cell r="J9">
            <v>-272407</v>
          </cell>
          <cell r="L9">
            <v>-291762</v>
          </cell>
          <cell r="N9">
            <v>-278005</v>
          </cell>
          <cell r="P9">
            <v>-301629</v>
          </cell>
          <cell r="R9">
            <v>-333193</v>
          </cell>
          <cell r="T9">
            <v>-290603</v>
          </cell>
          <cell r="V9">
            <v>-265858</v>
          </cell>
          <cell r="X9">
            <v>-306809</v>
          </cell>
        </row>
        <row r="10">
          <cell r="B10">
            <v>-463236</v>
          </cell>
          <cell r="D10">
            <v>-444052</v>
          </cell>
          <cell r="F10">
            <v>-422854</v>
          </cell>
          <cell r="H10">
            <v>-397633</v>
          </cell>
          <cell r="J10">
            <v>-438966</v>
          </cell>
          <cell r="L10">
            <v>-474968</v>
          </cell>
          <cell r="N10">
            <v>-431980</v>
          </cell>
          <cell r="P10">
            <v>-478044</v>
          </cell>
          <cell r="R10">
            <v>-543456</v>
          </cell>
          <cell r="T10">
            <v>-453740</v>
          </cell>
          <cell r="V10">
            <v>-403812</v>
          </cell>
          <cell r="X10">
            <v>-456996</v>
          </cell>
        </row>
        <row r="11">
          <cell r="B11">
            <v>1366</v>
          </cell>
          <cell r="D11">
            <v>-38967</v>
          </cell>
          <cell r="F11">
            <v>-167692</v>
          </cell>
          <cell r="H11">
            <v>-17833</v>
          </cell>
          <cell r="J11">
            <v>1953</v>
          </cell>
          <cell r="L11">
            <v>122708</v>
          </cell>
          <cell r="N11">
            <v>42247</v>
          </cell>
          <cell r="P11">
            <v>71533</v>
          </cell>
          <cell r="R11">
            <v>69647</v>
          </cell>
          <cell r="T11">
            <v>-12655</v>
          </cell>
          <cell r="V11">
            <v>32169</v>
          </cell>
          <cell r="X11">
            <v>-68956</v>
          </cell>
        </row>
        <row r="12">
          <cell r="B12">
            <v>24965</v>
          </cell>
          <cell r="D12">
            <v>73336</v>
          </cell>
          <cell r="F12">
            <v>11088</v>
          </cell>
          <cell r="H12">
            <v>23393</v>
          </cell>
          <cell r="J12">
            <v>34982</v>
          </cell>
          <cell r="L12">
            <v>11432</v>
          </cell>
          <cell r="N12">
            <v>6343</v>
          </cell>
          <cell r="P12">
            <v>21458</v>
          </cell>
          <cell r="R12">
            <v>26054</v>
          </cell>
          <cell r="T12">
            <v>8273</v>
          </cell>
          <cell r="V12">
            <v>920731</v>
          </cell>
          <cell r="X12">
            <v>28391</v>
          </cell>
        </row>
        <row r="13">
          <cell r="B13">
            <v>26331</v>
          </cell>
          <cell r="D13">
            <v>34369</v>
          </cell>
          <cell r="F13">
            <v>-156604</v>
          </cell>
          <cell r="H13">
            <v>5560</v>
          </cell>
          <cell r="J13">
            <v>36935</v>
          </cell>
          <cell r="L13">
            <v>134140</v>
          </cell>
          <cell r="N13">
            <v>48590</v>
          </cell>
          <cell r="P13">
            <v>92991</v>
          </cell>
          <cell r="R13">
            <v>95701</v>
          </cell>
          <cell r="T13">
            <v>-4382</v>
          </cell>
          <cell r="V13">
            <v>952900</v>
          </cell>
          <cell r="X13">
            <v>-40565</v>
          </cell>
        </row>
        <row r="14">
          <cell r="B14">
            <v>-8500</v>
          </cell>
          <cell r="D14">
            <v>-3324</v>
          </cell>
          <cell r="F14">
            <v>21197</v>
          </cell>
          <cell r="H14">
            <v>-4937</v>
          </cell>
          <cell r="J14">
            <v>-964</v>
          </cell>
          <cell r="L14">
            <v>-21890</v>
          </cell>
          <cell r="N14">
            <v>-14910</v>
          </cell>
          <cell r="P14">
            <v>-10242</v>
          </cell>
          <cell r="R14">
            <v>-29406</v>
          </cell>
          <cell r="T14">
            <v>-39619</v>
          </cell>
          <cell r="V14">
            <v>-36179</v>
          </cell>
          <cell r="X14">
            <v>-7662</v>
          </cell>
        </row>
        <row r="15">
          <cell r="B15">
            <v>17831</v>
          </cell>
          <cell r="D15">
            <v>31045</v>
          </cell>
          <cell r="F15">
            <v>-135407</v>
          </cell>
          <cell r="H15">
            <v>623</v>
          </cell>
          <cell r="J15">
            <v>35971</v>
          </cell>
          <cell r="L15">
            <v>112250</v>
          </cell>
          <cell r="N15">
            <v>33680</v>
          </cell>
          <cell r="P15">
            <v>82749</v>
          </cell>
          <cell r="R15">
            <v>66295</v>
          </cell>
          <cell r="T15">
            <v>-44001</v>
          </cell>
          <cell r="V15">
            <v>916721</v>
          </cell>
          <cell r="X15">
            <v>-48227</v>
          </cell>
        </row>
        <row r="18">
          <cell r="B18">
            <v>0.06</v>
          </cell>
          <cell r="D18">
            <v>0.11</v>
          </cell>
          <cell r="F18">
            <v>-0.46</v>
          </cell>
          <cell r="H18">
            <v>0</v>
          </cell>
          <cell r="J18">
            <v>0.12</v>
          </cell>
          <cell r="L18">
            <v>0.38</v>
          </cell>
          <cell r="N18">
            <v>0.12</v>
          </cell>
          <cell r="P18">
            <v>0.28000000000000003</v>
          </cell>
          <cell r="R18">
            <v>0.23</v>
          </cell>
          <cell r="T18">
            <v>-0.15</v>
          </cell>
          <cell r="V18">
            <v>3.13</v>
          </cell>
          <cell r="X18">
            <v>-0.16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"/>
  <sheetViews>
    <sheetView workbookViewId="0">
      <selection activeCell="Q12" sqref="Q12"/>
    </sheetView>
  </sheetViews>
  <sheetFormatPr defaultColWidth="9" defaultRowHeight="16.5"/>
  <cols>
    <col min="1" max="1" width="26.375" style="91" bestFit="1" customWidth="1"/>
    <col min="2" max="2" width="20.625" style="91" customWidth="1"/>
    <col min="3" max="3" width="5.625" style="91" customWidth="1"/>
    <col min="4" max="4" width="20.625" style="91" customWidth="1"/>
    <col min="5" max="5" width="5.625" style="92" customWidth="1"/>
    <col min="6" max="6" width="20.625" style="91" hidden="1" customWidth="1"/>
    <col min="7" max="7" width="5.625" style="92" hidden="1" customWidth="1"/>
    <col min="8" max="8" width="20.625" style="91" hidden="1" customWidth="1"/>
    <col min="9" max="9" width="5.625" style="92" hidden="1" customWidth="1"/>
    <col min="10" max="10" width="20.625" style="91" hidden="1" customWidth="1"/>
    <col min="11" max="11" width="5.625" style="92" hidden="1" customWidth="1"/>
    <col min="12" max="12" width="20.625" style="91" hidden="1" customWidth="1"/>
    <col min="13" max="13" width="5.625" style="92" hidden="1" customWidth="1"/>
    <col min="14" max="14" width="20.625" style="91" hidden="1" customWidth="1"/>
    <col min="15" max="15" width="5.625" style="92" hidden="1" customWidth="1"/>
    <col min="16" max="16" width="10.625" style="92" customWidth="1"/>
    <col min="17" max="16384" width="9" style="91"/>
  </cols>
  <sheetData>
    <row r="2" spans="1:16" ht="57" customHeight="1"/>
    <row r="4" spans="1:16" ht="17.25" thickBot="1">
      <c r="A4" s="90" t="s">
        <v>143</v>
      </c>
      <c r="B4" s="119" t="s">
        <v>215</v>
      </c>
      <c r="C4" s="120"/>
      <c r="D4" s="119" t="s">
        <v>175</v>
      </c>
      <c r="E4" s="120"/>
      <c r="F4" s="119" t="s">
        <v>160</v>
      </c>
      <c r="G4" s="120"/>
      <c r="H4" s="119" t="s">
        <v>152</v>
      </c>
      <c r="I4" s="120"/>
      <c r="J4" s="119" t="s">
        <v>144</v>
      </c>
      <c r="K4" s="120"/>
      <c r="L4" s="119" t="s">
        <v>145</v>
      </c>
      <c r="M4" s="120"/>
      <c r="N4" s="119">
        <v>2013</v>
      </c>
      <c r="O4" s="120"/>
      <c r="P4" s="95" t="s">
        <v>146</v>
      </c>
    </row>
    <row r="5" spans="1:16">
      <c r="A5" s="51" t="s">
        <v>8</v>
      </c>
      <c r="B5" s="3">
        <v>2011515</v>
      </c>
      <c r="C5" s="87">
        <v>1</v>
      </c>
      <c r="D5" s="3">
        <f>季度簡明合併損益表!L3+季度簡明合併損益表!N3+季度簡明合併損益表!P3+季度簡明合併損益表!R3</f>
        <v>2412587</v>
      </c>
      <c r="E5" s="87">
        <f>D5/D5</f>
        <v>1</v>
      </c>
      <c r="F5" s="3">
        <f>季度簡明合併損益表!Z3+季度簡明合併損益表!X3+季度簡明合併損益表!V3+季度簡明合併損益表!T3</f>
        <v>3187062</v>
      </c>
      <c r="G5" s="87">
        <f>F5/F5</f>
        <v>1</v>
      </c>
      <c r="H5" s="3">
        <f>季度簡明合併損益表!AB3+季度簡明合併損益表!AD3+季度簡明合併損益表!AF3+季度簡明合併損益表!AH3</f>
        <v>3400744</v>
      </c>
      <c r="I5" s="87">
        <f>H5/H5</f>
        <v>1</v>
      </c>
      <c r="J5" s="3">
        <f>SUM([1]季度簡明合併損益表!B3,[1]季度簡明合併損益表!D3,[1]季度簡明合併損益表!F3,[1]季度簡明合併損益表!H3)</f>
        <v>3631593</v>
      </c>
      <c r="K5" s="87">
        <f>J5/J5</f>
        <v>1</v>
      </c>
      <c r="L5" s="3">
        <f>SUM([1]季度簡明合併損益表!J3,[1]季度簡明合併損益表!L3,[1]季度簡明合併損益表!N3,[1]季度簡明合併損益表!P3)</f>
        <v>4647395</v>
      </c>
      <c r="M5" s="87">
        <f>L5/L5</f>
        <v>1</v>
      </c>
      <c r="N5" s="3">
        <f>SUM([1]季度簡明合併損益表!R3,[1]季度簡明合併損益表!T3,[1]季度簡明合併損益表!V3,[1]季度簡明合併損益表!X3)</f>
        <v>4155584</v>
      </c>
      <c r="O5" s="87">
        <f>N5/N5</f>
        <v>1</v>
      </c>
      <c r="P5" s="75">
        <f>B5/D5-1</f>
        <v>-0.16624146611085944</v>
      </c>
    </row>
    <row r="6" spans="1:16">
      <c r="A6" s="52" t="s">
        <v>9</v>
      </c>
      <c r="B6" s="9">
        <v>-1261870</v>
      </c>
      <c r="C6" s="87"/>
      <c r="D6" s="9">
        <f>季度簡明合併損益表!L4+季度簡明合併損益表!N4+季度簡明合併損益表!P4+季度簡明合併損益表!R4</f>
        <v>-1987374</v>
      </c>
      <c r="E6" s="87"/>
      <c r="F6" s="9">
        <f>季度簡明合併損益表!Z4+季度簡明合併損益表!X4+季度簡明合併損益表!V4+季度簡明合併損益表!T4</f>
        <v>-2274329</v>
      </c>
      <c r="G6" s="87"/>
      <c r="H6" s="9">
        <f>季度簡明合併損益表!AB4+季度簡明合併損益表!AD4+季度簡明合併損益表!AF4+季度簡明合併損益表!AH4</f>
        <v>-2154403</v>
      </c>
      <c r="I6" s="87"/>
      <c r="J6" s="9">
        <f>SUM([1]季度簡明合併損益表!B4,[1]季度簡明合併損益表!D4,[1]季度簡明合併損益表!F4,[1]季度簡明合併損益表!H4)</f>
        <v>-2126944</v>
      </c>
      <c r="K6" s="87"/>
      <c r="L6" s="9">
        <f>SUM([1]季度簡明合併損益表!J4,[1]季度簡明合併損益表!L4,[1]季度簡明合併損益表!N4,[1]季度簡明合併損益表!P4)</f>
        <v>-2584996</v>
      </c>
      <c r="M6" s="87"/>
      <c r="N6" s="9">
        <f>SUM([1]季度簡明合併損益表!R4,[1]季度簡明合併損益表!T4,[1]季度簡明合併損益表!V4,[1]季度簡明合併損益表!X4)</f>
        <v>-2277375</v>
      </c>
      <c r="O6" s="87"/>
      <c r="P6" s="75">
        <f t="shared" ref="P6:P7" si="0">B6/D6-1</f>
        <v>-0.36505660233051251</v>
      </c>
    </row>
    <row r="7" spans="1:16">
      <c r="A7" s="51" t="s">
        <v>10</v>
      </c>
      <c r="B7" s="83">
        <v>749645</v>
      </c>
      <c r="C7" s="88">
        <v>0.37267681324772622</v>
      </c>
      <c r="D7" s="83">
        <f>D5+D6</f>
        <v>425213</v>
      </c>
      <c r="E7" s="88">
        <f>D7/D5</f>
        <v>0.17624773738729421</v>
      </c>
      <c r="F7" s="83">
        <f>F5+F6</f>
        <v>912733</v>
      </c>
      <c r="G7" s="88">
        <f>F7/F5</f>
        <v>0.28638696078080689</v>
      </c>
      <c r="H7" s="83">
        <f>H5+H6</f>
        <v>1246341</v>
      </c>
      <c r="I7" s="88">
        <f>H7/H5</f>
        <v>0.3664906855676287</v>
      </c>
      <c r="J7" s="83">
        <f>SUM([1]季度簡明合併損益表!B5,[1]季度簡明合併損益表!D5,[1]季度簡明合併損益表!F5,[1]季度簡明合併損益表!H5)</f>
        <v>1504649</v>
      </c>
      <c r="K7" s="88">
        <f>J7/J5</f>
        <v>0.41432203443502619</v>
      </c>
      <c r="L7" s="83">
        <f>SUM([1]季度簡明合併損益表!J5,[1]季度簡明合併損益表!L5,[1]季度簡明合併損益表!N5,[1]季度簡明合併損益表!P5)</f>
        <v>2062399</v>
      </c>
      <c r="M7" s="88">
        <f>L7/L5</f>
        <v>0.44377527625691382</v>
      </c>
      <c r="N7" s="83">
        <f>SUM([1]季度簡明合併損益表!R5,[1]季度簡明合併損益表!T5,[1]季度簡明合併損益表!V5,[1]季度簡明合併損益表!X5)</f>
        <v>1878209</v>
      </c>
      <c r="O7" s="88">
        <f>N7/N5</f>
        <v>0.45197233409311421</v>
      </c>
      <c r="P7" s="75">
        <f t="shared" si="0"/>
        <v>0.76298702062260571</v>
      </c>
    </row>
    <row r="8" spans="1:16">
      <c r="A8" s="52" t="s">
        <v>11</v>
      </c>
      <c r="B8" s="7"/>
      <c r="C8" s="87"/>
      <c r="D8" s="7"/>
      <c r="E8" s="87"/>
      <c r="F8" s="7"/>
      <c r="G8" s="87"/>
      <c r="H8" s="7"/>
      <c r="I8" s="87"/>
      <c r="J8" s="7"/>
      <c r="K8" s="87"/>
      <c r="L8" s="7"/>
      <c r="M8" s="87"/>
      <c r="N8" s="7">
        <f>SUM([1]季度簡明合併損益表!R6,[1]季度簡明合併損益表!T6,[1]季度簡明合併損益表!V6,[1]季度簡明合併損益表!X6)</f>
        <v>0</v>
      </c>
      <c r="O8" s="87"/>
      <c r="P8" s="75"/>
    </row>
    <row r="9" spans="1:16">
      <c r="A9" s="52" t="s">
        <v>12</v>
      </c>
      <c r="B9" s="3">
        <v>-124001</v>
      </c>
      <c r="C9" s="87"/>
      <c r="D9" s="3">
        <f>季度簡明合併損益表!L7+季度簡明合併損益表!N7+季度簡明合併損益表!P7+季度簡明合併損益表!R7</f>
        <v>-200582</v>
      </c>
      <c r="E9" s="87"/>
      <c r="F9" s="3">
        <f>季度簡明合併損益表!Z7+季度簡明合併損益表!X7+季度簡明合併損益表!V7+季度簡明合併損益表!T7</f>
        <v>-186298</v>
      </c>
      <c r="G9" s="87"/>
      <c r="H9" s="3">
        <f>季度簡明合併損益表!AB7+季度簡明合併損益表!AD7+季度簡明合併損益表!AF7+季度簡明合併損益表!AH7</f>
        <v>-239486</v>
      </c>
      <c r="I9" s="87"/>
      <c r="J9" s="3">
        <f>SUM([1]季度簡明合併損益表!B7,[1]季度簡明合併損益表!D7,[1]季度簡明合併損益表!F7,[1]季度簡明合併損益表!H7)</f>
        <v>-274664</v>
      </c>
      <c r="K9" s="87"/>
      <c r="L9" s="3">
        <f>SUM([1]季度簡明合併損益表!J7,[1]季度簡明合併損益表!L7,[1]季度簡明合併損益表!N7,[1]季度簡明合併損益表!P7)</f>
        <v>-357865</v>
      </c>
      <c r="M9" s="87"/>
      <c r="N9" s="3">
        <f>SUM([1]季度簡明合併損益表!R7,[1]季度簡明合併損益表!T7,[1]季度簡明合併損益表!V7,[1]季度簡明合併損益表!X7)</f>
        <v>-258312</v>
      </c>
      <c r="O9" s="87"/>
      <c r="P9" s="75">
        <f t="shared" ref="P9:P12" si="1">B9/D9-1</f>
        <v>-0.38179397951959793</v>
      </c>
    </row>
    <row r="10" spans="1:16">
      <c r="A10" s="52" t="s">
        <v>13</v>
      </c>
      <c r="B10" s="3">
        <v>-246305</v>
      </c>
      <c r="C10" s="87"/>
      <c r="D10" s="3">
        <f>季度簡明合併損益表!L8+季度簡明合併損益表!N8+季度簡明合併損益表!P8+季度簡明合併損益表!R8</f>
        <v>-231200</v>
      </c>
      <c r="E10" s="87"/>
      <c r="F10" s="3">
        <f>季度簡明合併損益表!Z8+季度簡明合併損益表!X8+季度簡明合併損益表!V8+季度簡明合併損益表!T8</f>
        <v>-271743</v>
      </c>
      <c r="G10" s="87"/>
      <c r="H10" s="3">
        <f>季度簡明合併損益表!AB8+季度簡明合併損益表!AD8+季度簡明合併損益表!AF8+季度簡明合併損益表!AH8</f>
        <v>-255350</v>
      </c>
      <c r="I10" s="87"/>
      <c r="J10" s="3">
        <f>SUM([1]季度簡明合併損益表!B8,[1]季度簡明合併損益表!D8,[1]季度簡明合併損益表!F8,[1]季度簡明合併損益表!H8)</f>
        <v>-294309</v>
      </c>
      <c r="K10" s="87"/>
      <c r="L10" s="3">
        <f>SUM([1]季度簡明合併損益表!J8,[1]季度簡明合併損益表!L8,[1]季度簡明合併損益表!N8,[1]季度簡明合併損益表!P8)</f>
        <v>-322290</v>
      </c>
      <c r="M10" s="87"/>
      <c r="N10" s="3">
        <f>SUM([1]季度簡明合併損益表!R8,[1]季度簡明合併損益表!T8,[1]季度簡明合併損益表!V8,[1]季度簡明合併損益表!X8)</f>
        <v>-403229</v>
      </c>
      <c r="O10" s="87"/>
      <c r="P10" s="75">
        <f t="shared" si="1"/>
        <v>6.5333044982698985E-2</v>
      </c>
    </row>
    <row r="11" spans="1:16">
      <c r="A11" s="52" t="s">
        <v>14</v>
      </c>
      <c r="B11" s="3">
        <v>-831607</v>
      </c>
      <c r="C11" s="87"/>
      <c r="D11" s="3">
        <f>季度簡明合併損益表!L9+季度簡明合併損益表!N9+季度簡明合併損益表!P9+季度簡明合併損益表!R9</f>
        <v>-1036231</v>
      </c>
      <c r="E11" s="87"/>
      <c r="F11" s="3">
        <f>季度簡明合併損益表!Z9+季度簡明合併損益表!X9+季度簡明合併損益表!V9+季度簡明合併損益表!T9</f>
        <v>-1089850</v>
      </c>
      <c r="G11" s="87"/>
      <c r="H11" s="3">
        <f>季度簡明合併損益表!AB9+季度簡明合併損益表!AD9+季度簡明合併損益表!AF9+季度簡明合併損益表!AH9</f>
        <v>-1129398</v>
      </c>
      <c r="I11" s="87"/>
      <c r="J11" s="3">
        <f>SUM([1]季度簡明合併損益表!B9,[1]季度簡明合併損益表!D9,[1]季度簡明合併損益表!F9,[1]季度簡明合併損益表!H9)</f>
        <v>-1158802</v>
      </c>
      <c r="K11" s="87"/>
      <c r="L11" s="3">
        <f>SUM([1]季度簡明合併損益表!J9,[1]季度簡明合併損益表!L9,[1]季度簡明合併損益表!N9,[1]季度簡明合併損益表!P9)</f>
        <v>-1143803</v>
      </c>
      <c r="M11" s="87"/>
      <c r="N11" s="3">
        <f>SUM([1]季度簡明合併損益表!R9,[1]季度簡明合併損益表!T9,[1]季度簡明合併損益表!V9,[1]季度簡明合併損益表!X9)</f>
        <v>-1196463</v>
      </c>
      <c r="O11" s="87"/>
      <c r="P11" s="75">
        <f t="shared" si="1"/>
        <v>-0.19746948315578283</v>
      </c>
    </row>
    <row r="12" spans="1:16">
      <c r="A12" s="52" t="s">
        <v>168</v>
      </c>
      <c r="B12" s="66">
        <v>4121</v>
      </c>
      <c r="C12" s="87"/>
      <c r="D12" s="66">
        <f>季度簡明合併損益表!L10+季度簡明合併損益表!N10+季度簡明合併損益表!P10+季度簡明合併損益表!R10</f>
        <v>-27228</v>
      </c>
      <c r="E12" s="87"/>
      <c r="F12" s="66"/>
      <c r="G12" s="87"/>
      <c r="H12" s="66"/>
      <c r="I12" s="87"/>
      <c r="J12" s="66"/>
      <c r="K12" s="87"/>
      <c r="L12" s="66"/>
      <c r="M12" s="87"/>
      <c r="N12" s="66"/>
      <c r="O12" s="87"/>
      <c r="P12" s="75">
        <f t="shared" si="1"/>
        <v>-1.1513515498751286</v>
      </c>
    </row>
    <row r="13" spans="1:16">
      <c r="A13" s="52" t="s">
        <v>15</v>
      </c>
      <c r="B13" s="9">
        <v>-1197792</v>
      </c>
      <c r="C13" s="88"/>
      <c r="D13" s="9">
        <f>SUM(D9:D12)</f>
        <v>-1495241</v>
      </c>
      <c r="E13" s="88"/>
      <c r="F13" s="9">
        <f>SUM(F9:F11)</f>
        <v>-1547891</v>
      </c>
      <c r="G13" s="88"/>
      <c r="H13" s="9">
        <f>SUM(H9:H11)</f>
        <v>-1624234</v>
      </c>
      <c r="I13" s="88"/>
      <c r="J13" s="9">
        <f>SUM([1]季度簡明合併損益表!B10,[1]季度簡明合併損益表!D10,[1]季度簡明合併損益表!F10,[1]季度簡明合併損益表!H10)</f>
        <v>-1727775</v>
      </c>
      <c r="K13" s="88"/>
      <c r="L13" s="9">
        <f>SUM([1]季度簡明合併損益表!J10,[1]季度簡明合併損益表!L10,[1]季度簡明合併損益表!N10,[1]季度簡明合併損益表!P10)</f>
        <v>-1823958</v>
      </c>
      <c r="M13" s="88"/>
      <c r="N13" s="9">
        <f>SUM([1]季度簡明合併損益表!R10,[1]季度簡明合併損益表!T10,[1]季度簡明合併損益表!V10,[1]季度簡明合併損益表!X10)</f>
        <v>-1858004</v>
      </c>
      <c r="O13" s="88"/>
      <c r="P13" s="75">
        <f>B13/D13-1</f>
        <v>-0.19893047341532233</v>
      </c>
    </row>
    <row r="14" spans="1:16">
      <c r="A14" s="51" t="s">
        <v>147</v>
      </c>
      <c r="B14" s="3">
        <v>-448147</v>
      </c>
      <c r="C14" s="96">
        <v>-0.2227907820722192</v>
      </c>
      <c r="D14" s="3">
        <f>D7+D13</f>
        <v>-1070028</v>
      </c>
      <c r="E14" s="96">
        <f>D14/D5</f>
        <v>-0.44351892802207754</v>
      </c>
      <c r="F14" s="3">
        <f>F7+F13</f>
        <v>-635158</v>
      </c>
      <c r="G14" s="96">
        <f>F14/F5</f>
        <v>-0.19929264005532368</v>
      </c>
      <c r="H14" s="3">
        <f>H7+H13</f>
        <v>-377893</v>
      </c>
      <c r="I14" s="96">
        <f>H14/H5</f>
        <v>-0.11112068417969714</v>
      </c>
      <c r="J14" s="3">
        <f>SUM([1]季度簡明合併損益表!B11,[1]季度簡明合併損益表!D11,[1]季度簡明合併損益表!F11,[1]季度簡明合併損益表!H11)</f>
        <v>-223126</v>
      </c>
      <c r="K14" s="96">
        <f>J14/J5</f>
        <v>-6.1440255006549468E-2</v>
      </c>
      <c r="L14" s="3">
        <f>SUM([1]季度簡明合併損益表!J11,[1]季度簡明合併損益表!L11,[1]季度簡明合併損益表!N11,[1]季度簡明合併損益表!P11)</f>
        <v>238441</v>
      </c>
      <c r="M14" s="87">
        <f>L14/L5</f>
        <v>5.1306377013359099E-2</v>
      </c>
      <c r="N14" s="3">
        <f>SUM([1]季度簡明合併損益表!R11,[1]季度簡明合併損益表!T11,[1]季度簡明合併損益表!V11,[1]季度簡明合併損益表!X11)</f>
        <v>20205</v>
      </c>
      <c r="O14" s="87">
        <f>N14/N5</f>
        <v>4.8621324944941556E-3</v>
      </c>
      <c r="P14" s="75">
        <f t="shared" ref="P14:P18" si="2">B14/D14-1</f>
        <v>-0.581181987761068</v>
      </c>
    </row>
    <row r="15" spans="1:16">
      <c r="A15" s="52" t="s">
        <v>148</v>
      </c>
      <c r="B15" s="7">
        <v>58630</v>
      </c>
      <c r="C15" s="87"/>
      <c r="D15" s="7">
        <f>季度簡明合併損益表!L13+季度簡明合併損益表!N13+季度簡明合併損益表!P13+季度簡明合併損益表!R13</f>
        <v>58470</v>
      </c>
      <c r="E15" s="87"/>
      <c r="F15" s="7">
        <f>季度簡明合併損益表!Z13+季度簡明合併損益表!X13+季度簡明合併損益表!V13+季度簡明合併損益表!T13</f>
        <v>62529</v>
      </c>
      <c r="G15" s="87"/>
      <c r="H15" s="7">
        <f>季度簡明合併損益表!AB13+季度簡明合併損益表!AD13+季度簡明合併損益表!AF13+季度簡明合併損益表!AH13</f>
        <v>-248672</v>
      </c>
      <c r="I15" s="87"/>
      <c r="J15" s="7">
        <f>SUM([1]季度簡明合併損益表!B12,[1]季度簡明合併損益表!D12,[1]季度簡明合併損益表!F12,[1]季度簡明合併損益表!H12)</f>
        <v>132782</v>
      </c>
      <c r="K15" s="87"/>
      <c r="L15" s="7">
        <f>SUM([1]季度簡明合併損益表!J12,[1]季度簡明合併損益表!L12,[1]季度簡明合併損益表!N12,[1]季度簡明合併損益表!P12)</f>
        <v>74215</v>
      </c>
      <c r="M15" s="87"/>
      <c r="N15" s="7">
        <f>SUM([1]季度簡明合併損益表!R12,[1]季度簡明合併損益表!T12,[1]季度簡明合併損益表!V12,[1]季度簡明合併損益表!X12)</f>
        <v>983449</v>
      </c>
      <c r="O15" s="87"/>
      <c r="P15" s="75">
        <f t="shared" si="2"/>
        <v>2.7364460407046654E-3</v>
      </c>
    </row>
    <row r="16" spans="1:16">
      <c r="A16" s="52" t="s">
        <v>149</v>
      </c>
      <c r="B16" s="7">
        <v>-389517</v>
      </c>
      <c r="C16" s="87"/>
      <c r="D16" s="7">
        <f>季度簡明合併損益表!L14+季度簡明合併損益表!N14+季度簡明合併損益表!P14+季度簡明合併損益表!R14</f>
        <v>-1011558</v>
      </c>
      <c r="E16" s="87"/>
      <c r="F16" s="7">
        <f>季度簡明合併損益表!Z14+季度簡明合併損益表!X14+季度簡明合併損益表!V14+季度簡明合併損益表!T14</f>
        <v>-572629</v>
      </c>
      <c r="G16" s="87"/>
      <c r="H16" s="7">
        <f>季度簡明合併損益表!AB14+季度簡明合併損益表!AD14+季度簡明合併損益表!AF14+季度簡明合併損益表!AH14</f>
        <v>-626565</v>
      </c>
      <c r="I16" s="87"/>
      <c r="J16" s="3">
        <f>SUM([1]季度簡明合併損益表!B13,[1]季度簡明合併損益表!D13,[1]季度簡明合併損益表!F13,[1]季度簡明合併損益表!H13)</f>
        <v>-90344</v>
      </c>
      <c r="K16" s="87"/>
      <c r="L16" s="3">
        <f>SUM([1]季度簡明合併損益表!J13,[1]季度簡明合併損益表!L13,[1]季度簡明合併損益表!N13,[1]季度簡明合併損益表!P13)</f>
        <v>312656</v>
      </c>
      <c r="M16" s="87"/>
      <c r="N16" s="3">
        <f>SUM([1]季度簡明合併損益表!R13,[1]季度簡明合併損益表!T13,[1]季度簡明合併損益表!V13,[1]季度簡明合併損益表!X13)</f>
        <v>1003654</v>
      </c>
      <c r="O16" s="87"/>
      <c r="P16" s="75">
        <f t="shared" si="2"/>
        <v>-0.6149335974803225</v>
      </c>
    </row>
    <row r="17" spans="1:16">
      <c r="A17" s="52" t="s">
        <v>150</v>
      </c>
      <c r="B17" s="7">
        <v>71700</v>
      </c>
      <c r="C17" s="87"/>
      <c r="D17" s="7">
        <f>季度簡明合併損益表!L15+季度簡明合併損益表!N15+季度簡明合併損益表!P15+季度簡明合併損益表!R15</f>
        <v>249306</v>
      </c>
      <c r="E17" s="87"/>
      <c r="F17" s="7">
        <f>季度簡明合併損益表!Z15+季度簡明合併損益表!X15+季度簡明合併損益表!V15+季度簡明合併損益表!T15</f>
        <v>103525</v>
      </c>
      <c r="G17" s="87"/>
      <c r="H17" s="7">
        <f>季度簡明合併損益表!AB15+季度簡明合併損益表!AD15+季度簡明合併損益表!AF15+季度簡明合併損益表!AH15</f>
        <v>51257</v>
      </c>
      <c r="I17" s="87"/>
      <c r="J17" s="3">
        <f>SUM([1]季度簡明合併損益表!B14,[1]季度簡明合併損益表!D14,[1]季度簡明合併損益表!F14,[1]季度簡明合併損益表!H14)</f>
        <v>4436</v>
      </c>
      <c r="K17" s="87"/>
      <c r="L17" s="3">
        <f>SUM([1]季度簡明合併損益表!J14,[1]季度簡明合併損益表!L14,[1]季度簡明合併損益表!N14,[1]季度簡明合併損益表!P14)</f>
        <v>-48006</v>
      </c>
      <c r="M17" s="87"/>
      <c r="N17" s="3">
        <f>SUM([1]季度簡明合併損益表!R14,[1]季度簡明合併損益表!T14,[1]季度簡明合併損益表!V14,[1]季度簡明合併損益表!X14)</f>
        <v>-112866</v>
      </c>
      <c r="O17" s="87"/>
      <c r="P17" s="75">
        <f t="shared" si="2"/>
        <v>-0.7124016269163197</v>
      </c>
    </row>
    <row r="18" spans="1:16">
      <c r="A18" s="53" t="s">
        <v>151</v>
      </c>
      <c r="B18" s="9">
        <v>-317817</v>
      </c>
      <c r="C18" s="88"/>
      <c r="D18" s="9">
        <f>D16+D17</f>
        <v>-762252</v>
      </c>
      <c r="E18" s="88"/>
      <c r="F18" s="9">
        <f>F16+F17</f>
        <v>-469104</v>
      </c>
      <c r="G18" s="88"/>
      <c r="H18" s="9">
        <f>H16+H17</f>
        <v>-575308</v>
      </c>
      <c r="I18" s="88"/>
      <c r="J18" s="9">
        <f>SUM([1]季度簡明合併損益表!B15,[1]季度簡明合併損益表!D15,[1]季度簡明合併損益表!F15,[1]季度簡明合併損益表!H15)</f>
        <v>-85908</v>
      </c>
      <c r="K18" s="88"/>
      <c r="L18" s="9">
        <f>SUM([1]季度簡明合併損益表!J15,[1]季度簡明合併損益表!L15,[1]季度簡明合併損益表!N15,[1]季度簡明合併損益表!P15)</f>
        <v>264650</v>
      </c>
      <c r="M18" s="88"/>
      <c r="N18" s="9">
        <f>SUM([1]季度簡明合併損益表!R15,[1]季度簡明合併損益表!T15,[1]季度簡明合併損益表!V15,[1]季度簡明合併損益表!X15)</f>
        <v>890788</v>
      </c>
      <c r="O18" s="88"/>
      <c r="P18" s="75">
        <f t="shared" si="2"/>
        <v>-0.58305521008800243</v>
      </c>
    </row>
    <row r="19" spans="1:16">
      <c r="A19" s="52"/>
      <c r="B19" s="110"/>
      <c r="C19" s="110"/>
      <c r="D19" s="8"/>
      <c r="E19" s="87"/>
      <c r="F19" s="8"/>
      <c r="G19" s="87"/>
      <c r="H19" s="8"/>
      <c r="I19" s="87"/>
      <c r="J19" s="8"/>
      <c r="K19" s="87"/>
      <c r="L19" s="8"/>
      <c r="M19" s="87"/>
      <c r="N19" s="8"/>
      <c r="O19" s="87"/>
      <c r="P19" s="85"/>
    </row>
    <row r="20" spans="1:16">
      <c r="A20" s="1"/>
      <c r="B20" s="1"/>
      <c r="C20" s="1"/>
      <c r="D20" s="5"/>
      <c r="E20" s="87"/>
      <c r="F20" s="5"/>
      <c r="G20" s="87"/>
      <c r="H20" s="5"/>
      <c r="I20" s="87"/>
      <c r="J20" s="5"/>
      <c r="K20" s="87"/>
      <c r="L20" s="5"/>
      <c r="M20" s="87"/>
      <c r="N20" s="5"/>
      <c r="O20" s="87"/>
      <c r="P20" s="86"/>
    </row>
    <row r="21" spans="1:16">
      <c r="A21" s="52"/>
      <c r="B21" s="84">
        <v>-1.68</v>
      </c>
      <c r="C21" s="109"/>
      <c r="D21" s="84">
        <f>季度簡明合併損益表!L23+季度簡明合併損益表!N23+季度簡明合併損益表!P23+季度簡明合併損益表!R23</f>
        <v>-4.05</v>
      </c>
      <c r="E21" s="87"/>
      <c r="F21" s="84">
        <f>季度簡明合併損益表!Z23+季度簡明合併損益表!X23+季度簡明合併損益表!V23+季度簡明合併損益表!T23</f>
        <v>-1.6</v>
      </c>
      <c r="G21" s="87"/>
      <c r="H21" s="84">
        <f>季度簡明合併損益表!AB23+季度簡明合併損益表!AD23+季度簡明合併損益表!AF23+季度簡明合併損益表!AH23</f>
        <v>-1.95</v>
      </c>
      <c r="I21" s="87"/>
      <c r="J21" s="84">
        <f>SUM([1]季度簡明合併損益表!B18,[1]季度簡明合併損益表!D18,[1]季度簡明合併損益表!F18,[1]季度簡明合併損益表!H18)</f>
        <v>-0.29000000000000004</v>
      </c>
      <c r="K21" s="87"/>
      <c r="L21" s="84">
        <f>SUM([1]季度簡明合併損益表!J18,[1]季度簡明合併損益表!L18,[1]季度簡明合併損益表!N18,[1]季度簡明合併損益表!P18)</f>
        <v>0.9</v>
      </c>
      <c r="M21" s="87"/>
      <c r="N21" s="84">
        <f>SUM([1]季度簡明合併損益表!R18,[1]季度簡明合併損益表!T18,[1]季度簡明合併損益表!V18,[1]季度簡明合併損益表!X18)</f>
        <v>3.05</v>
      </c>
      <c r="O21" s="87"/>
      <c r="P21" s="86"/>
    </row>
    <row r="22" spans="1:16">
      <c r="A22" s="1"/>
      <c r="B22" s="10"/>
      <c r="C22" s="10"/>
      <c r="D22" s="10"/>
      <c r="E22" s="87"/>
      <c r="F22" s="10"/>
      <c r="G22" s="87"/>
      <c r="H22" s="10"/>
      <c r="I22" s="87"/>
      <c r="J22" s="10"/>
      <c r="K22" s="87"/>
      <c r="L22" s="10"/>
      <c r="M22" s="87"/>
      <c r="N22" s="10"/>
      <c r="O22" s="87"/>
      <c r="P22" s="89"/>
    </row>
  </sheetData>
  <mergeCells count="7">
    <mergeCell ref="B4:C4"/>
    <mergeCell ref="D4:E4"/>
    <mergeCell ref="J4:K4"/>
    <mergeCell ref="L4:M4"/>
    <mergeCell ref="N4:O4"/>
    <mergeCell ref="H4:I4"/>
    <mergeCell ref="F4:G4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2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4" sqref="B4"/>
    </sheetView>
  </sheetViews>
  <sheetFormatPr defaultColWidth="9" defaultRowHeight="15.75" outlineLevelCol="1"/>
  <cols>
    <col min="1" max="1" width="27.875" style="1" bestFit="1" customWidth="1"/>
    <col min="2" max="2" width="20.625" style="1" customWidth="1"/>
    <col min="3" max="3" width="5.875" style="2" bestFit="1" customWidth="1"/>
    <col min="4" max="4" width="20.625" style="1" customWidth="1"/>
    <col min="5" max="5" width="5.625" style="2" customWidth="1"/>
    <col min="6" max="6" width="20.625" style="1" hidden="1" customWidth="1" outlineLevel="1"/>
    <col min="7" max="7" width="5.625" style="2" hidden="1" customWidth="1" outlineLevel="1"/>
    <col min="8" max="8" width="9.625" style="1" hidden="1" customWidth="1" outlineLevel="1"/>
    <col min="9" max="9" width="6.125" style="2" hidden="1" customWidth="1" outlineLevel="1"/>
    <col min="10" max="10" width="14.125" style="1" customWidth="1" collapsed="1"/>
    <col min="11" max="11" width="6.125" style="2" customWidth="1"/>
    <col min="12" max="12" width="20.625" style="1" hidden="1" customWidth="1" outlineLevel="1"/>
    <col min="13" max="13" width="5.625" style="2" hidden="1" customWidth="1" outlineLevel="1"/>
    <col min="14" max="14" width="10.875" style="1" hidden="1" customWidth="1" outlineLevel="1"/>
    <col min="15" max="15" width="7.5" style="2" hidden="1" customWidth="1" outlineLevel="1"/>
    <col min="16" max="16" width="9.625" style="1" hidden="1" customWidth="1" outlineLevel="1"/>
    <col min="17" max="17" width="6.125" style="2" hidden="1" customWidth="1" outlineLevel="1"/>
    <col min="18" max="18" width="9.625" style="1" hidden="1" customWidth="1" outlineLevel="1"/>
    <col min="19" max="19" width="6.125" style="2" hidden="1" customWidth="1" outlineLevel="1"/>
    <col min="20" max="20" width="9.625" style="1" hidden="1" customWidth="1" outlineLevel="1"/>
    <col min="21" max="21" width="6.125" style="2" hidden="1" customWidth="1" outlineLevel="1"/>
    <col min="22" max="22" width="9.625" style="1" hidden="1" customWidth="1" outlineLevel="1"/>
    <col min="23" max="23" width="6.125" style="2" hidden="1" customWidth="1" outlineLevel="1"/>
    <col min="24" max="24" width="9.625" style="1" hidden="1" customWidth="1" outlineLevel="1"/>
    <col min="25" max="25" width="6.125" style="2" hidden="1" customWidth="1" outlineLevel="1"/>
    <col min="26" max="26" width="9.625" style="1" hidden="1" customWidth="1" outlineLevel="1"/>
    <col min="27" max="27" width="6.125" style="2" hidden="1" customWidth="1" outlineLevel="1"/>
    <col min="28" max="28" width="9.625" style="1" hidden="1" customWidth="1" outlineLevel="1"/>
    <col min="29" max="29" width="6.125" style="2" hidden="1" customWidth="1" outlineLevel="1"/>
    <col min="30" max="30" width="9.625" style="1" hidden="1" customWidth="1" outlineLevel="1"/>
    <col min="31" max="31" width="6.125" style="2" hidden="1" customWidth="1" outlineLevel="1"/>
    <col min="32" max="32" width="9.625" style="1" hidden="1" customWidth="1" outlineLevel="1"/>
    <col min="33" max="33" width="6.125" style="2" hidden="1" customWidth="1" outlineLevel="1"/>
    <col min="34" max="34" width="9.625" style="1" hidden="1" customWidth="1" outlineLevel="1"/>
    <col min="35" max="35" width="6.125" style="2" hidden="1" customWidth="1" outlineLevel="1"/>
    <col min="36" max="36" width="10.75" style="1" hidden="1" customWidth="1" outlineLevel="1"/>
    <col min="37" max="37" width="6.125" style="2" hidden="1" customWidth="1" outlineLevel="1"/>
    <col min="38" max="38" width="9.625" style="1" hidden="1" customWidth="1" outlineLevel="1"/>
    <col min="39" max="39" width="6.125" style="2" hidden="1" customWidth="1" outlineLevel="1"/>
    <col min="40" max="40" width="9.625" style="1" hidden="1" customWidth="1" outlineLevel="1"/>
    <col min="41" max="41" width="6.125" style="2" hidden="1" customWidth="1" outlineLevel="1"/>
    <col min="42" max="42" width="9.625" style="1" hidden="1" customWidth="1" outlineLevel="1"/>
    <col min="43" max="43" width="6.125" style="2" hidden="1" customWidth="1" outlineLevel="1"/>
    <col min="44" max="44" width="10.75" style="1" hidden="1" customWidth="1" outlineLevel="1"/>
    <col min="45" max="45" width="6.125" style="2" hidden="1" customWidth="1" outlineLevel="1"/>
    <col min="46" max="46" width="10.75" style="1" hidden="1" customWidth="1" outlineLevel="1"/>
    <col min="47" max="47" width="6.125" style="2" hidden="1" customWidth="1" outlineLevel="1"/>
    <col min="48" max="48" width="10.75" style="1" hidden="1" customWidth="1" outlineLevel="1"/>
    <col min="49" max="49" width="6.125" style="2" hidden="1" customWidth="1" outlineLevel="1"/>
    <col min="50" max="50" width="10.75" style="1" hidden="1" customWidth="1" outlineLevel="1"/>
    <col min="51" max="51" width="6.125" style="2" hidden="1" customWidth="1" outlineLevel="1"/>
    <col min="52" max="52" width="10.75" style="1" hidden="1" customWidth="1" outlineLevel="1"/>
    <col min="53" max="53" width="6.125" style="2" hidden="1" customWidth="1" outlineLevel="1"/>
    <col min="54" max="54" width="10.75" style="1" hidden="1" customWidth="1" outlineLevel="1"/>
    <col min="55" max="55" width="6.125" style="2" hidden="1" customWidth="1" outlineLevel="1"/>
    <col min="56" max="56" width="9.625" style="1" hidden="1" customWidth="1" outlineLevel="1"/>
    <col min="57" max="57" width="6.125" style="2" hidden="1" customWidth="1" outlineLevel="1"/>
    <col min="58" max="58" width="9.625" style="1" hidden="1" customWidth="1" outlineLevel="1"/>
    <col min="59" max="59" width="6.125" style="2" hidden="1" customWidth="1" outlineLevel="1"/>
    <col min="60" max="60" width="10.75" style="1" hidden="1" customWidth="1" outlineLevel="1"/>
    <col min="61" max="61" width="6.125" style="2" hidden="1" customWidth="1" outlineLevel="1"/>
    <col min="62" max="62" width="10.75" style="1" hidden="1" customWidth="1" outlineLevel="1"/>
    <col min="63" max="63" width="6.125" style="2" hidden="1" customWidth="1" outlineLevel="1"/>
    <col min="64" max="64" width="10.75" style="1" hidden="1" customWidth="1" outlineLevel="1"/>
    <col min="65" max="65" width="6.125" style="2" hidden="1" customWidth="1" outlineLevel="1"/>
    <col min="66" max="66" width="10.75" style="1" hidden="1" customWidth="1" outlineLevel="1"/>
    <col min="67" max="67" width="0.5" style="2" hidden="1" customWidth="1" outlineLevel="1"/>
    <col min="68" max="68" width="1.125" style="1" hidden="1" customWidth="1" outlineLevel="1" collapsed="1"/>
    <col min="69" max="69" width="10.625" style="1" customWidth="1" collapsed="1"/>
    <col min="70" max="70" width="10.625" style="1" customWidth="1"/>
    <col min="71" max="16384" width="9" style="1"/>
  </cols>
  <sheetData>
    <row r="1" spans="1:73" ht="82.5" customHeight="1"/>
    <row r="2" spans="1:73" ht="17.25" customHeight="1" thickBot="1">
      <c r="A2" s="50" t="s">
        <v>20</v>
      </c>
      <c r="B2" s="119" t="s">
        <v>216</v>
      </c>
      <c r="C2" s="120"/>
      <c r="D2" s="119" t="s">
        <v>210</v>
      </c>
      <c r="E2" s="120"/>
      <c r="F2" s="119" t="s">
        <v>208</v>
      </c>
      <c r="G2" s="120"/>
      <c r="H2" s="119" t="s">
        <v>203</v>
      </c>
      <c r="I2" s="120"/>
      <c r="J2" s="119" t="s">
        <v>196</v>
      </c>
      <c r="K2" s="120"/>
      <c r="L2" s="119" t="s">
        <v>176</v>
      </c>
      <c r="M2" s="120"/>
      <c r="N2" s="119" t="s">
        <v>173</v>
      </c>
      <c r="O2" s="120"/>
      <c r="P2" s="119" t="s">
        <v>171</v>
      </c>
      <c r="Q2" s="120"/>
      <c r="R2" s="119" t="s">
        <v>166</v>
      </c>
      <c r="S2" s="120"/>
      <c r="T2" s="119" t="s">
        <v>161</v>
      </c>
      <c r="U2" s="120"/>
      <c r="V2" s="119" t="s">
        <v>159</v>
      </c>
      <c r="W2" s="120"/>
      <c r="X2" s="119" t="s">
        <v>156</v>
      </c>
      <c r="Y2" s="120"/>
      <c r="Z2" s="119" t="s">
        <v>153</v>
      </c>
      <c r="AA2" s="120"/>
      <c r="AB2" s="119" t="s">
        <v>140</v>
      </c>
      <c r="AC2" s="120"/>
      <c r="AD2" s="119" t="s">
        <v>138</v>
      </c>
      <c r="AE2" s="120"/>
      <c r="AF2" s="119" t="s">
        <v>135</v>
      </c>
      <c r="AG2" s="120"/>
      <c r="AH2" s="119" t="s">
        <v>132</v>
      </c>
      <c r="AI2" s="120"/>
      <c r="AJ2" s="119" t="s">
        <v>119</v>
      </c>
      <c r="AK2" s="120"/>
      <c r="AL2" s="119" t="s">
        <v>117</v>
      </c>
      <c r="AM2" s="120"/>
      <c r="AN2" s="119" t="s">
        <v>111</v>
      </c>
      <c r="AO2" s="120"/>
      <c r="AP2" s="119" t="s">
        <v>109</v>
      </c>
      <c r="AQ2" s="120"/>
      <c r="AR2" s="119" t="s">
        <v>104</v>
      </c>
      <c r="AS2" s="120"/>
      <c r="AT2" s="119" t="s">
        <v>101</v>
      </c>
      <c r="AU2" s="120"/>
      <c r="AV2" s="119" t="s">
        <v>100</v>
      </c>
      <c r="AW2" s="120"/>
      <c r="AX2" s="119" t="s">
        <v>98</v>
      </c>
      <c r="AY2" s="120"/>
      <c r="AZ2" s="119" t="s">
        <v>79</v>
      </c>
      <c r="BA2" s="120"/>
      <c r="BB2" s="119" t="s">
        <v>74</v>
      </c>
      <c r="BC2" s="120"/>
      <c r="BD2" s="119" t="s">
        <v>68</v>
      </c>
      <c r="BE2" s="120"/>
      <c r="BF2" s="119" t="s">
        <v>17</v>
      </c>
      <c r="BG2" s="120"/>
      <c r="BH2" s="119" t="s">
        <v>19</v>
      </c>
      <c r="BI2" s="120"/>
      <c r="BJ2" s="119" t="s">
        <v>75</v>
      </c>
      <c r="BK2" s="120"/>
      <c r="BL2" s="119" t="s">
        <v>69</v>
      </c>
      <c r="BM2" s="120"/>
      <c r="BN2" s="119" t="s">
        <v>18</v>
      </c>
      <c r="BO2" s="120"/>
      <c r="BQ2" s="74" t="s">
        <v>205</v>
      </c>
      <c r="BR2" s="74" t="s">
        <v>206</v>
      </c>
    </row>
    <row r="3" spans="1:73" ht="16.5">
      <c r="A3" s="51" t="s">
        <v>8</v>
      </c>
      <c r="B3" s="3">
        <v>498026</v>
      </c>
      <c r="C3" s="69">
        <v>1</v>
      </c>
      <c r="D3" s="3">
        <v>528700</v>
      </c>
      <c r="E3" s="69">
        <v>1</v>
      </c>
      <c r="F3" s="3">
        <v>488346</v>
      </c>
      <c r="G3" s="69">
        <v>1</v>
      </c>
      <c r="H3" s="3">
        <v>437495</v>
      </c>
      <c r="I3" s="69">
        <v>1</v>
      </c>
      <c r="J3" s="3">
        <v>556974</v>
      </c>
      <c r="K3" s="69">
        <v>1</v>
      </c>
      <c r="L3" s="3">
        <v>587794</v>
      </c>
      <c r="M3" s="69">
        <v>1</v>
      </c>
      <c r="N3" s="3">
        <v>672872</v>
      </c>
      <c r="O3" s="69">
        <v>1</v>
      </c>
      <c r="P3" s="3">
        <v>599985</v>
      </c>
      <c r="Q3" s="69">
        <v>1</v>
      </c>
      <c r="R3" s="3">
        <v>551936</v>
      </c>
      <c r="S3" s="69">
        <v>1</v>
      </c>
      <c r="T3" s="3">
        <v>675324</v>
      </c>
      <c r="U3" s="69">
        <v>1</v>
      </c>
      <c r="V3" s="3">
        <v>857074</v>
      </c>
      <c r="W3" s="69">
        <v>1</v>
      </c>
      <c r="X3" s="3">
        <v>899706</v>
      </c>
      <c r="Y3" s="69">
        <v>1</v>
      </c>
      <c r="Z3" s="3">
        <v>754958</v>
      </c>
      <c r="AA3" s="69">
        <v>1</v>
      </c>
      <c r="AB3" s="3">
        <v>831494</v>
      </c>
      <c r="AC3" s="69">
        <v>1</v>
      </c>
      <c r="AD3" s="3">
        <v>790877</v>
      </c>
      <c r="AE3" s="69">
        <v>1</v>
      </c>
      <c r="AF3" s="3">
        <v>796637</v>
      </c>
      <c r="AG3" s="69">
        <v>1</v>
      </c>
      <c r="AH3" s="3">
        <v>981736</v>
      </c>
      <c r="AI3" s="69">
        <v>1</v>
      </c>
      <c r="AJ3" s="3">
        <v>1110908</v>
      </c>
      <c r="AK3" s="69">
        <v>1</v>
      </c>
      <c r="AL3" s="3">
        <v>952310</v>
      </c>
      <c r="AM3" s="69">
        <v>1</v>
      </c>
      <c r="AN3" s="3">
        <v>658485</v>
      </c>
      <c r="AO3" s="69">
        <v>1</v>
      </c>
      <c r="AP3" s="3">
        <v>909890</v>
      </c>
      <c r="AQ3" s="69">
        <v>1</v>
      </c>
      <c r="AR3" s="3">
        <v>1126645</v>
      </c>
      <c r="AS3" s="69">
        <v>1</v>
      </c>
      <c r="AT3" s="3">
        <v>1395830</v>
      </c>
      <c r="AU3" s="69">
        <v>1</v>
      </c>
      <c r="AV3" s="3">
        <v>1016890</v>
      </c>
      <c r="AW3" s="69">
        <v>1</v>
      </c>
      <c r="AX3" s="3">
        <v>1108030</v>
      </c>
      <c r="AY3" s="69">
        <v>1</v>
      </c>
      <c r="AZ3" s="3">
        <v>1280595</v>
      </c>
      <c r="BA3" s="69">
        <v>1</v>
      </c>
      <c r="BB3" s="3">
        <v>1058707</v>
      </c>
      <c r="BC3" s="69">
        <v>1</v>
      </c>
      <c r="BD3" s="3">
        <v>955183</v>
      </c>
      <c r="BE3" s="69">
        <v>1</v>
      </c>
      <c r="BF3" s="3">
        <v>861099</v>
      </c>
      <c r="BG3" s="4">
        <v>1</v>
      </c>
      <c r="BH3" s="3">
        <v>1184085</v>
      </c>
      <c r="BI3" s="4">
        <v>1</v>
      </c>
      <c r="BJ3" s="3">
        <v>1221942</v>
      </c>
      <c r="BK3" s="4">
        <v>1</v>
      </c>
      <c r="BL3" s="3">
        <v>1291208</v>
      </c>
      <c r="BM3" s="4">
        <v>1</v>
      </c>
      <c r="BN3" s="3">
        <v>1425353</v>
      </c>
      <c r="BO3" s="4">
        <v>1</v>
      </c>
      <c r="BQ3" s="75">
        <f>B3/D3-1</f>
        <v>-5.8017779459050511E-2</v>
      </c>
      <c r="BR3" s="75">
        <f>B3/J3-1</f>
        <v>-0.10583617906760456</v>
      </c>
    </row>
    <row r="4" spans="1:73">
      <c r="A4" s="52" t="s">
        <v>9</v>
      </c>
      <c r="B4" s="9">
        <v>-314917</v>
      </c>
      <c r="C4" s="69"/>
      <c r="D4" s="9">
        <v>-311080</v>
      </c>
      <c r="E4" s="69"/>
      <c r="F4" s="9">
        <v>-263864</v>
      </c>
      <c r="G4" s="69"/>
      <c r="H4" s="9">
        <v>-322259</v>
      </c>
      <c r="I4" s="69"/>
      <c r="J4" s="9">
        <v>-364667</v>
      </c>
      <c r="K4" s="69"/>
      <c r="L4" s="9">
        <v>-545862</v>
      </c>
      <c r="M4" s="69"/>
      <c r="N4" s="9">
        <v>-585538</v>
      </c>
      <c r="O4" s="69"/>
      <c r="P4" s="9">
        <v>-471447</v>
      </c>
      <c r="Q4" s="69"/>
      <c r="R4" s="9">
        <v>-384527</v>
      </c>
      <c r="S4" s="69"/>
      <c r="T4" s="9">
        <v>-478334</v>
      </c>
      <c r="U4" s="69"/>
      <c r="V4" s="9">
        <v>-602845</v>
      </c>
      <c r="W4" s="69"/>
      <c r="X4" s="9">
        <v>-644630</v>
      </c>
      <c r="Y4" s="69"/>
      <c r="Z4" s="9">
        <v>-548520</v>
      </c>
      <c r="AA4" s="69"/>
      <c r="AB4" s="9">
        <v>-533706</v>
      </c>
      <c r="AC4" s="69"/>
      <c r="AD4" s="9">
        <v>-506611</v>
      </c>
      <c r="AE4" s="69"/>
      <c r="AF4" s="9">
        <v>-500846</v>
      </c>
      <c r="AG4" s="69"/>
      <c r="AH4" s="9">
        <v>-613240</v>
      </c>
      <c r="AI4" s="69"/>
      <c r="AJ4" s="9">
        <v>-646306</v>
      </c>
      <c r="AK4" s="69"/>
      <c r="AL4" s="9">
        <v>-547225</v>
      </c>
      <c r="AM4" s="69"/>
      <c r="AN4" s="9">
        <v>-403323</v>
      </c>
      <c r="AO4" s="69"/>
      <c r="AP4" s="9">
        <v>-530090</v>
      </c>
      <c r="AQ4" s="69"/>
      <c r="AR4" s="9">
        <v>-685726</v>
      </c>
      <c r="AS4" s="69"/>
      <c r="AT4" s="9">
        <v>-798154</v>
      </c>
      <c r="AU4" s="69"/>
      <c r="AV4" s="9">
        <v>-542663</v>
      </c>
      <c r="AW4" s="69"/>
      <c r="AX4" s="9">
        <v>-558453</v>
      </c>
      <c r="AY4" s="69"/>
      <c r="AZ4" s="9">
        <v>-667492</v>
      </c>
      <c r="BA4" s="69"/>
      <c r="BB4" s="9">
        <v>-617622</v>
      </c>
      <c r="BC4" s="69"/>
      <c r="BD4" s="9">
        <v>-519202</v>
      </c>
      <c r="BE4" s="69"/>
      <c r="BF4" s="9">
        <v>-473059</v>
      </c>
      <c r="BG4" s="4"/>
      <c r="BH4" s="9">
        <v>-654098</v>
      </c>
      <c r="BI4" s="4"/>
      <c r="BJ4" s="9">
        <v>-648046</v>
      </c>
      <c r="BK4" s="4"/>
      <c r="BL4" s="9">
        <v>-664188</v>
      </c>
      <c r="BM4" s="4"/>
      <c r="BN4" s="9">
        <v>-733231</v>
      </c>
      <c r="BO4" s="4"/>
      <c r="BQ4" s="75">
        <f t="shared" ref="BQ4:BQ5" si="0">B4/D4-1</f>
        <v>1.2334447730487419E-2</v>
      </c>
      <c r="BR4" s="75">
        <f t="shared" ref="BR4:BR5" si="1">B4/J4-1</f>
        <v>-0.13642583507693318</v>
      </c>
    </row>
    <row r="5" spans="1:73" ht="16.5">
      <c r="A5" s="51" t="s">
        <v>10</v>
      </c>
      <c r="B5" s="83">
        <f>B3+B4</f>
        <v>183109</v>
      </c>
      <c r="C5" s="69">
        <f>B5/B3</f>
        <v>0.36766955942059248</v>
      </c>
      <c r="D5" s="83">
        <v>217620</v>
      </c>
      <c r="E5" s="4">
        <v>0.41161339133724228</v>
      </c>
      <c r="F5" s="83">
        <v>224482</v>
      </c>
      <c r="G5" s="4">
        <v>0.45967817899603969</v>
      </c>
      <c r="H5" s="83">
        <v>115236</v>
      </c>
      <c r="I5" s="4">
        <v>0.26339958170950523</v>
      </c>
      <c r="J5" s="83">
        <v>192307</v>
      </c>
      <c r="K5" s="4">
        <v>0.34527105394506746</v>
      </c>
      <c r="L5" s="83">
        <v>41932</v>
      </c>
      <c r="M5" s="4">
        <v>7.1337917705862938E-2</v>
      </c>
      <c r="N5" s="83">
        <v>87334</v>
      </c>
      <c r="O5" s="4">
        <v>0.12979288780035431</v>
      </c>
      <c r="P5" s="83">
        <v>128538</v>
      </c>
      <c r="Q5" s="4">
        <v>0.21423535588389711</v>
      </c>
      <c r="R5" s="83">
        <v>167409</v>
      </c>
      <c r="S5" s="4">
        <v>0.30331234056122447</v>
      </c>
      <c r="T5" s="83">
        <v>196990</v>
      </c>
      <c r="U5" s="4">
        <v>0.29169702246625323</v>
      </c>
      <c r="V5" s="83">
        <v>254229</v>
      </c>
      <c r="W5" s="4">
        <v>0.29662432882108197</v>
      </c>
      <c r="X5" s="83">
        <v>255076</v>
      </c>
      <c r="Y5" s="4">
        <v>0.28351039117222737</v>
      </c>
      <c r="Z5" s="83">
        <v>206438</v>
      </c>
      <c r="AA5" s="4">
        <v>0.27344302596965658</v>
      </c>
      <c r="AB5" s="83">
        <v>297788</v>
      </c>
      <c r="AC5" s="4">
        <v>0.35813607795125402</v>
      </c>
      <c r="AD5" s="83">
        <v>284266</v>
      </c>
      <c r="AE5" s="4">
        <v>0.35943136543356302</v>
      </c>
      <c r="AF5" s="83">
        <v>295791</v>
      </c>
      <c r="AG5" s="4">
        <v>0.37129960069642759</v>
      </c>
      <c r="AH5" s="83">
        <v>368496</v>
      </c>
      <c r="AI5" s="4">
        <v>0.37535141830390245</v>
      </c>
      <c r="AJ5" s="83">
        <v>464602</v>
      </c>
      <c r="AK5" s="4">
        <v>0.41821825029615411</v>
      </c>
      <c r="AL5" s="83">
        <v>405085</v>
      </c>
      <c r="AM5" s="4">
        <v>0.42537094013504007</v>
      </c>
      <c r="AN5" s="83">
        <v>255162</v>
      </c>
      <c r="AO5" s="4">
        <v>0.38749857627736395</v>
      </c>
      <c r="AP5" s="9">
        <v>379800</v>
      </c>
      <c r="AQ5" s="4">
        <v>0.41741309389047027</v>
      </c>
      <c r="AR5" s="9">
        <v>440919</v>
      </c>
      <c r="AS5" s="4">
        <v>0.39135575092420416</v>
      </c>
      <c r="AT5" s="9">
        <v>597676</v>
      </c>
      <c r="AU5" s="4">
        <v>0.42818681358045035</v>
      </c>
      <c r="AV5" s="9">
        <v>474227</v>
      </c>
      <c r="AW5" s="4">
        <v>0.46635034271160108</v>
      </c>
      <c r="AX5" s="9">
        <v>549577</v>
      </c>
      <c r="AY5" s="4">
        <v>0.49599469328447787</v>
      </c>
      <c r="AZ5" s="9">
        <v>613103</v>
      </c>
      <c r="BA5" s="4">
        <v>0.47876416821867962</v>
      </c>
      <c r="BB5" s="9">
        <v>441085</v>
      </c>
      <c r="BC5" s="69">
        <v>0.41662612979795166</v>
      </c>
      <c r="BD5" s="9">
        <v>435981</v>
      </c>
      <c r="BE5" s="69">
        <v>0.45643714345837394</v>
      </c>
      <c r="BF5" s="9">
        <v>388040</v>
      </c>
      <c r="BG5" s="4">
        <v>0.4506334347154044</v>
      </c>
      <c r="BH5" s="9">
        <v>529987</v>
      </c>
      <c r="BI5" s="4">
        <v>0.44759202253216618</v>
      </c>
      <c r="BJ5" s="9">
        <v>573896</v>
      </c>
      <c r="BK5" s="4">
        <v>0.46965895271625002</v>
      </c>
      <c r="BL5" s="9">
        <v>627020</v>
      </c>
      <c r="BM5" s="4">
        <v>0.48560727628701184</v>
      </c>
      <c r="BN5" s="9">
        <v>692122</v>
      </c>
      <c r="BO5" s="4">
        <f>BN5/BN3</f>
        <v>0.48557936174407323</v>
      </c>
      <c r="BQ5" s="75">
        <f t="shared" si="0"/>
        <v>-0.15858376987409251</v>
      </c>
      <c r="BR5" s="75">
        <f t="shared" si="1"/>
        <v>-4.7829772187179875E-2</v>
      </c>
    </row>
    <row r="6" spans="1:73">
      <c r="A6" s="52" t="s">
        <v>11</v>
      </c>
      <c r="B6" s="7"/>
      <c r="C6" s="69"/>
      <c r="D6" s="7"/>
      <c r="E6" s="69"/>
      <c r="F6" s="7"/>
      <c r="G6" s="69"/>
      <c r="H6" s="7"/>
      <c r="I6" s="69"/>
      <c r="J6" s="7"/>
      <c r="K6" s="69"/>
      <c r="L6" s="7"/>
      <c r="M6" s="69"/>
      <c r="N6" s="7"/>
      <c r="O6" s="69"/>
      <c r="P6" s="7"/>
      <c r="Q6" s="69"/>
      <c r="R6" s="7"/>
      <c r="S6" s="69"/>
      <c r="T6" s="7"/>
      <c r="U6" s="69"/>
      <c r="V6" s="7"/>
      <c r="W6" s="69"/>
      <c r="X6" s="7"/>
      <c r="Y6" s="69"/>
      <c r="Z6" s="7"/>
      <c r="AA6" s="69"/>
      <c r="AB6" s="7"/>
      <c r="AC6" s="69"/>
      <c r="AD6" s="7"/>
      <c r="AE6" s="69"/>
      <c r="AF6" s="7"/>
      <c r="AG6" s="69"/>
      <c r="AH6" s="7"/>
      <c r="AI6" s="69"/>
      <c r="AJ6" s="7"/>
      <c r="AK6" s="69"/>
      <c r="AL6" s="7"/>
      <c r="AM6" s="69"/>
      <c r="AN6" s="7"/>
      <c r="AO6" s="69"/>
      <c r="AP6" s="7"/>
      <c r="AQ6" s="69"/>
      <c r="AR6" s="7"/>
      <c r="AS6" s="69"/>
      <c r="AT6" s="7"/>
      <c r="AU6" s="69"/>
      <c r="AV6" s="7"/>
      <c r="AW6" s="69"/>
      <c r="AX6" s="7"/>
      <c r="AY6" s="69"/>
      <c r="AZ6" s="7"/>
      <c r="BA6" s="69"/>
      <c r="BB6" s="7"/>
      <c r="BC6" s="69"/>
      <c r="BD6" s="7"/>
      <c r="BE6" s="69"/>
      <c r="BF6" s="7"/>
      <c r="BG6" s="4"/>
      <c r="BH6" s="7"/>
      <c r="BI6" s="4"/>
      <c r="BJ6" s="7"/>
      <c r="BK6" s="4"/>
      <c r="BL6" s="7"/>
      <c r="BM6" s="4"/>
      <c r="BN6" s="7"/>
      <c r="BO6" s="4"/>
      <c r="BQ6" s="75"/>
      <c r="BR6" s="75"/>
    </row>
    <row r="7" spans="1:73">
      <c r="A7" s="52" t="s">
        <v>12</v>
      </c>
      <c r="B7" s="3">
        <v>-24184</v>
      </c>
      <c r="C7" s="69"/>
      <c r="D7" s="3">
        <v>-21153</v>
      </c>
      <c r="E7" s="69"/>
      <c r="F7" s="3">
        <v>-43733</v>
      </c>
      <c r="G7" s="69"/>
      <c r="H7" s="3">
        <v>-27208</v>
      </c>
      <c r="I7" s="69"/>
      <c r="J7" s="3">
        <v>-31907</v>
      </c>
      <c r="K7" s="69"/>
      <c r="L7" s="3">
        <v>-76362</v>
      </c>
      <c r="M7" s="69"/>
      <c r="N7" s="3">
        <v>-45955</v>
      </c>
      <c r="O7" s="69"/>
      <c r="P7" s="3">
        <v>-39006</v>
      </c>
      <c r="Q7" s="69"/>
      <c r="R7" s="3">
        <v>-39259</v>
      </c>
      <c r="S7" s="69"/>
      <c r="T7" s="3">
        <v>-40754</v>
      </c>
      <c r="U7" s="69"/>
      <c r="V7" s="3">
        <v>-48935</v>
      </c>
      <c r="W7" s="69"/>
      <c r="X7" s="3">
        <v>-51970</v>
      </c>
      <c r="Y7" s="69"/>
      <c r="Z7" s="3">
        <v>-44639</v>
      </c>
      <c r="AA7" s="69"/>
      <c r="AB7" s="3">
        <v>-42784</v>
      </c>
      <c r="AC7" s="69"/>
      <c r="AD7" s="3">
        <v>-58266</v>
      </c>
      <c r="AE7" s="69"/>
      <c r="AF7" s="3">
        <v>-67483</v>
      </c>
      <c r="AG7" s="69"/>
      <c r="AH7" s="3">
        <v>-70953</v>
      </c>
      <c r="AI7" s="69"/>
      <c r="AJ7" s="3">
        <v>-74961</v>
      </c>
      <c r="AK7" s="69"/>
      <c r="AL7" s="3">
        <v>-73794</v>
      </c>
      <c r="AM7" s="69"/>
      <c r="AN7" s="3">
        <v>-60269</v>
      </c>
      <c r="AO7" s="69"/>
      <c r="AP7" s="3">
        <v>-65640</v>
      </c>
      <c r="AQ7" s="69"/>
      <c r="AR7" s="3">
        <v>-85182</v>
      </c>
      <c r="AS7" s="69"/>
      <c r="AT7" s="3">
        <v>-104663</v>
      </c>
      <c r="AU7" s="69"/>
      <c r="AV7" s="3">
        <v>-80635</v>
      </c>
      <c r="AW7" s="69"/>
      <c r="AX7" s="3">
        <v>-87385</v>
      </c>
      <c r="AY7" s="69"/>
      <c r="AZ7" s="3">
        <v>-84610</v>
      </c>
      <c r="BA7" s="69"/>
      <c r="BB7" s="3">
        <v>-62863</v>
      </c>
      <c r="BC7" s="69"/>
      <c r="BD7" s="3">
        <v>-38651</v>
      </c>
      <c r="BE7" s="69"/>
      <c r="BF7" s="3">
        <v>-72188</v>
      </c>
      <c r="BG7" s="4"/>
      <c r="BH7" s="3">
        <v>-72941</v>
      </c>
      <c r="BI7" s="4"/>
      <c r="BJ7" s="3">
        <v>-69462</v>
      </c>
      <c r="BK7" s="4"/>
      <c r="BL7" s="3">
        <v>-73485</v>
      </c>
      <c r="BM7" s="4"/>
      <c r="BN7" s="3">
        <v>-83554</v>
      </c>
      <c r="BO7" s="4"/>
      <c r="BQ7" s="75">
        <f t="shared" ref="BQ7:BQ16" si="2">B7/D7-1</f>
        <v>0.14328936793835401</v>
      </c>
      <c r="BR7" s="75">
        <f t="shared" ref="BR7:BR16" si="3">B7/J7-1</f>
        <v>-0.24204719967405275</v>
      </c>
    </row>
    <row r="8" spans="1:73">
      <c r="A8" s="52" t="s">
        <v>13</v>
      </c>
      <c r="B8" s="3">
        <v>-49981</v>
      </c>
      <c r="C8" s="69"/>
      <c r="D8" s="3">
        <v>-79873</v>
      </c>
      <c r="E8" s="69"/>
      <c r="F8" s="3">
        <v>-56880</v>
      </c>
      <c r="G8" s="69"/>
      <c r="H8" s="3">
        <v>-59589</v>
      </c>
      <c r="I8" s="69"/>
      <c r="J8" s="3">
        <v>-49963</v>
      </c>
      <c r="K8" s="69"/>
      <c r="L8" s="3">
        <v>-59979</v>
      </c>
      <c r="M8" s="69"/>
      <c r="N8" s="3">
        <v>-58150</v>
      </c>
      <c r="O8" s="69"/>
      <c r="P8" s="3">
        <v>-53151</v>
      </c>
      <c r="Q8" s="69"/>
      <c r="R8" s="3">
        <v>-59920</v>
      </c>
      <c r="S8" s="69"/>
      <c r="T8" s="3">
        <v>-66881</v>
      </c>
      <c r="U8" s="69"/>
      <c r="V8" s="3">
        <v>-73230</v>
      </c>
      <c r="W8" s="69"/>
      <c r="X8" s="3">
        <v>-69658</v>
      </c>
      <c r="Y8" s="69"/>
      <c r="Z8" s="3">
        <v>-61974</v>
      </c>
      <c r="AA8" s="69"/>
      <c r="AB8" s="3">
        <v>-65048</v>
      </c>
      <c r="AC8" s="69"/>
      <c r="AD8" s="3">
        <v>-64537</v>
      </c>
      <c r="AE8" s="69"/>
      <c r="AF8" s="3">
        <v>-60767</v>
      </c>
      <c r="AG8" s="69"/>
      <c r="AH8" s="3">
        <v>-64998</v>
      </c>
      <c r="AI8" s="69"/>
      <c r="AJ8" s="3">
        <v>-80371</v>
      </c>
      <c r="AK8" s="69"/>
      <c r="AL8" s="3">
        <v>-66866</v>
      </c>
      <c r="AM8" s="69"/>
      <c r="AN8" s="3">
        <v>-76032</v>
      </c>
      <c r="AO8" s="69"/>
      <c r="AP8" s="3">
        <v>-71040</v>
      </c>
      <c r="AQ8" s="69"/>
      <c r="AR8" s="3">
        <v>-81377</v>
      </c>
      <c r="AS8" s="69"/>
      <c r="AT8" s="3">
        <v>-78543</v>
      </c>
      <c r="AU8" s="69"/>
      <c r="AV8" s="3">
        <v>-73340</v>
      </c>
      <c r="AW8" s="69"/>
      <c r="AX8" s="3">
        <v>-89030</v>
      </c>
      <c r="AY8" s="69"/>
      <c r="AZ8" s="3">
        <v>-125653</v>
      </c>
      <c r="BA8" s="69"/>
      <c r="BB8" s="3">
        <v>-100274</v>
      </c>
      <c r="BC8" s="69"/>
      <c r="BD8" s="3">
        <v>-99303</v>
      </c>
      <c r="BE8" s="69"/>
      <c r="BF8" s="3">
        <v>-77999</v>
      </c>
      <c r="BG8" s="4"/>
      <c r="BH8" s="3">
        <v>-65801</v>
      </c>
      <c r="BI8" s="4"/>
      <c r="BJ8" s="3">
        <v>-66733</v>
      </c>
      <c r="BK8" s="4"/>
      <c r="BL8" s="3">
        <v>-67142</v>
      </c>
      <c r="BM8" s="4"/>
      <c r="BN8" s="3">
        <v>-69610</v>
      </c>
      <c r="BO8" s="4"/>
      <c r="BQ8" s="75">
        <f t="shared" si="2"/>
        <v>-0.37424411252863921</v>
      </c>
      <c r="BR8" s="75">
        <f t="shared" si="3"/>
        <v>3.602665972819441E-4</v>
      </c>
    </row>
    <row r="9" spans="1:73">
      <c r="A9" s="52" t="s">
        <v>14</v>
      </c>
      <c r="B9" s="3">
        <v>-173466</v>
      </c>
      <c r="C9" s="69"/>
      <c r="D9" s="3">
        <v>-209207</v>
      </c>
      <c r="E9" s="69"/>
      <c r="F9" s="3">
        <v>-206103</v>
      </c>
      <c r="G9" s="69"/>
      <c r="H9" s="3">
        <v>-211238</v>
      </c>
      <c r="I9" s="69"/>
      <c r="J9" s="3">
        <v>-205059</v>
      </c>
      <c r="K9" s="69"/>
      <c r="L9" s="3">
        <v>-244537</v>
      </c>
      <c r="M9" s="69"/>
      <c r="N9" s="3">
        <v>-252930</v>
      </c>
      <c r="O9" s="69"/>
      <c r="P9" s="3">
        <v>-274336</v>
      </c>
      <c r="Q9" s="69"/>
      <c r="R9" s="3">
        <v>-264428</v>
      </c>
      <c r="S9" s="69"/>
      <c r="T9" s="3">
        <v>-294436</v>
      </c>
      <c r="U9" s="69"/>
      <c r="V9" s="3">
        <v>-275939</v>
      </c>
      <c r="W9" s="69"/>
      <c r="X9" s="3">
        <v>-276882</v>
      </c>
      <c r="Y9" s="69"/>
      <c r="Z9" s="3">
        <v>-242593</v>
      </c>
      <c r="AA9" s="69"/>
      <c r="AB9" s="3">
        <v>-273562</v>
      </c>
      <c r="AC9" s="69"/>
      <c r="AD9" s="3">
        <v>-275602</v>
      </c>
      <c r="AE9" s="69"/>
      <c r="AF9" s="3">
        <v>-298239</v>
      </c>
      <c r="AG9" s="69"/>
      <c r="AH9" s="3">
        <v>-281995</v>
      </c>
      <c r="AI9" s="69"/>
      <c r="AJ9" s="3">
        <v>-307904</v>
      </c>
      <c r="AK9" s="69"/>
      <c r="AL9" s="3">
        <v>-303392</v>
      </c>
      <c r="AM9" s="69"/>
      <c r="AN9" s="3">
        <v>-286553</v>
      </c>
      <c r="AO9" s="69"/>
      <c r="AP9" s="3">
        <v>-260953</v>
      </c>
      <c r="AQ9" s="69"/>
      <c r="AR9" s="3">
        <v>-272407</v>
      </c>
      <c r="AS9" s="69"/>
      <c r="AT9" s="3">
        <v>-291762</v>
      </c>
      <c r="AU9" s="69"/>
      <c r="AV9" s="3">
        <v>-278005</v>
      </c>
      <c r="AW9" s="69"/>
      <c r="AX9" s="3">
        <v>-301629</v>
      </c>
      <c r="AY9" s="69"/>
      <c r="AZ9" s="3">
        <v>-333193</v>
      </c>
      <c r="BA9" s="69"/>
      <c r="BB9" s="3">
        <v>-290603</v>
      </c>
      <c r="BC9" s="69"/>
      <c r="BD9" s="3">
        <v>-265858</v>
      </c>
      <c r="BE9" s="69"/>
      <c r="BF9" s="3">
        <v>-306809</v>
      </c>
      <c r="BG9" s="4"/>
      <c r="BH9" s="3">
        <v>-220994</v>
      </c>
      <c r="BI9" s="4"/>
      <c r="BJ9" s="3">
        <v>-226246</v>
      </c>
      <c r="BK9" s="4"/>
      <c r="BL9" s="3">
        <v>-235303</v>
      </c>
      <c r="BM9" s="4"/>
      <c r="BN9" s="3">
        <v>-238734</v>
      </c>
      <c r="BO9" s="4"/>
      <c r="BQ9" s="75">
        <f t="shared" si="2"/>
        <v>-0.17084036385015799</v>
      </c>
      <c r="BR9" s="75">
        <f t="shared" si="3"/>
        <v>-0.1540678536421225</v>
      </c>
    </row>
    <row r="10" spans="1:73">
      <c r="A10" s="100" t="s">
        <v>168</v>
      </c>
      <c r="B10" s="66">
        <v>7771</v>
      </c>
      <c r="C10" s="69"/>
      <c r="D10" s="66">
        <v>9699</v>
      </c>
      <c r="E10" s="69"/>
      <c r="F10" s="66">
        <v>-11635</v>
      </c>
      <c r="G10" s="69"/>
      <c r="H10" s="66">
        <v>6135</v>
      </c>
      <c r="I10" s="69"/>
      <c r="J10" s="66">
        <v>-78</v>
      </c>
      <c r="K10" s="69"/>
      <c r="L10" s="66">
        <v>-23589</v>
      </c>
      <c r="M10" s="69"/>
      <c r="N10" s="66">
        <v>-3613</v>
      </c>
      <c r="O10" s="69"/>
      <c r="P10" s="66">
        <v>-12</v>
      </c>
      <c r="Q10" s="69"/>
      <c r="R10" s="66">
        <v>-14</v>
      </c>
      <c r="S10" s="69"/>
      <c r="T10" s="66"/>
      <c r="U10" s="69"/>
      <c r="V10" s="66"/>
      <c r="W10" s="69"/>
      <c r="X10" s="66"/>
      <c r="Y10" s="69"/>
      <c r="Z10" s="66"/>
      <c r="AA10" s="69"/>
      <c r="AB10" s="66"/>
      <c r="AC10" s="69"/>
      <c r="AD10" s="66"/>
      <c r="AE10" s="69"/>
      <c r="AF10" s="66"/>
      <c r="AG10" s="69"/>
      <c r="AH10" s="66"/>
      <c r="AI10" s="69"/>
      <c r="AJ10" s="66"/>
      <c r="AK10" s="69"/>
      <c r="AL10" s="66"/>
      <c r="AM10" s="69"/>
      <c r="AN10" s="66"/>
      <c r="AO10" s="69"/>
      <c r="AP10" s="66"/>
      <c r="AQ10" s="69"/>
      <c r="AR10" s="66"/>
      <c r="AS10" s="69"/>
      <c r="AT10" s="66"/>
      <c r="AU10" s="69"/>
      <c r="AV10" s="66"/>
      <c r="AW10" s="69"/>
      <c r="AX10" s="66"/>
      <c r="AY10" s="69"/>
      <c r="AZ10" s="66"/>
      <c r="BA10" s="69"/>
      <c r="BB10" s="66"/>
      <c r="BC10" s="69"/>
      <c r="BD10" s="66"/>
      <c r="BE10" s="69"/>
      <c r="BF10" s="66"/>
      <c r="BG10" s="4"/>
      <c r="BH10" s="66"/>
      <c r="BI10" s="4"/>
      <c r="BJ10" s="66"/>
      <c r="BK10" s="4"/>
      <c r="BL10" s="66"/>
      <c r="BM10" s="4"/>
      <c r="BN10" s="66"/>
      <c r="BO10" s="4"/>
      <c r="BQ10" s="75">
        <f t="shared" si="2"/>
        <v>-0.19878337972986904</v>
      </c>
      <c r="BR10" s="75">
        <f t="shared" si="3"/>
        <v>-100.62820512820512</v>
      </c>
    </row>
    <row r="11" spans="1:73">
      <c r="A11" s="52" t="s">
        <v>15</v>
      </c>
      <c r="B11" s="9">
        <f>SUM(B7:B10)</f>
        <v>-239860</v>
      </c>
      <c r="C11" s="69"/>
      <c r="D11" s="9">
        <v>-300534</v>
      </c>
      <c r="E11" s="4"/>
      <c r="F11" s="9">
        <v>-318351</v>
      </c>
      <c r="G11" s="4"/>
      <c r="H11" s="9">
        <v>-291900</v>
      </c>
      <c r="I11" s="4"/>
      <c r="J11" s="9">
        <v>-287007</v>
      </c>
      <c r="K11" s="4"/>
      <c r="L11" s="9">
        <v>-404467</v>
      </c>
      <c r="M11" s="4"/>
      <c r="N11" s="9">
        <v>-360648</v>
      </c>
      <c r="O11" s="4"/>
      <c r="P11" s="9">
        <v>-366505</v>
      </c>
      <c r="Q11" s="4"/>
      <c r="R11" s="9">
        <v>-363621</v>
      </c>
      <c r="S11" s="4"/>
      <c r="T11" s="9">
        <v>-402071</v>
      </c>
      <c r="U11" s="4"/>
      <c r="V11" s="9">
        <v>-398104</v>
      </c>
      <c r="W11" s="4"/>
      <c r="X11" s="9">
        <v>-398510</v>
      </c>
      <c r="Y11" s="4"/>
      <c r="Z11" s="9">
        <v>-349206</v>
      </c>
      <c r="AA11" s="4"/>
      <c r="AB11" s="9">
        <v>-381394</v>
      </c>
      <c r="AC11" s="4"/>
      <c r="AD11" s="9">
        <v>-398405</v>
      </c>
      <c r="AE11" s="4"/>
      <c r="AF11" s="9">
        <v>-426489</v>
      </c>
      <c r="AG11" s="4"/>
      <c r="AH11" s="9">
        <v>-417946</v>
      </c>
      <c r="AI11" s="4"/>
      <c r="AJ11" s="9">
        <v>-463236</v>
      </c>
      <c r="AK11" s="4"/>
      <c r="AL11" s="9">
        <v>-444052</v>
      </c>
      <c r="AM11" s="4"/>
      <c r="AN11" s="9">
        <v>-422854</v>
      </c>
      <c r="AO11" s="4"/>
      <c r="AP11" s="9">
        <v>-397633</v>
      </c>
      <c r="AQ11" s="4"/>
      <c r="AR11" s="9">
        <v>-438966</v>
      </c>
      <c r="AS11" s="4"/>
      <c r="AT11" s="9">
        <v>-474968</v>
      </c>
      <c r="AU11" s="4"/>
      <c r="AV11" s="9">
        <v>-431980</v>
      </c>
      <c r="AW11" s="4"/>
      <c r="AX11" s="9">
        <v>-478044</v>
      </c>
      <c r="AY11" s="69"/>
      <c r="AZ11" s="9">
        <v>-543456</v>
      </c>
      <c r="BA11" s="69"/>
      <c r="BB11" s="9">
        <v>-453740</v>
      </c>
      <c r="BC11" s="69">
        <v>-0.42857938976506249</v>
      </c>
      <c r="BD11" s="9">
        <v>-403812</v>
      </c>
      <c r="BE11" s="69"/>
      <c r="BF11" s="9">
        <v>-456996</v>
      </c>
      <c r="BG11" s="4">
        <v>-0.53071249647253105</v>
      </c>
      <c r="BH11" s="9">
        <v>-359736</v>
      </c>
      <c r="BI11" s="4">
        <v>-0.30380927044933431</v>
      </c>
      <c r="BJ11" s="9">
        <v>-362441</v>
      </c>
      <c r="BK11" s="4">
        <v>-0.29661064109425817</v>
      </c>
      <c r="BL11" s="9">
        <v>-375930</v>
      </c>
      <c r="BM11" s="4">
        <v>-0.29114596563837897</v>
      </c>
      <c r="BN11" s="9">
        <v>-391898</v>
      </c>
      <c r="BO11" s="4">
        <f>BN11/BN3</f>
        <v>-0.27494803041772808</v>
      </c>
      <c r="BQ11" s="75">
        <f t="shared" si="2"/>
        <v>-0.20188730725974435</v>
      </c>
      <c r="BR11" s="75">
        <f t="shared" si="3"/>
        <v>-0.16427125470807336</v>
      </c>
      <c r="BU11" s="81"/>
    </row>
    <row r="12" spans="1:73" ht="16.5">
      <c r="A12" s="51" t="s">
        <v>126</v>
      </c>
      <c r="B12" s="3">
        <f>B5+B11</f>
        <v>-56751</v>
      </c>
      <c r="C12" s="75">
        <f>B12/B3</f>
        <v>-0.11395188203025546</v>
      </c>
      <c r="D12" s="3">
        <v>-82914</v>
      </c>
      <c r="E12" s="75">
        <v>-0.15682617741630414</v>
      </c>
      <c r="F12" s="3">
        <v>-93869</v>
      </c>
      <c r="G12" s="75">
        <v>-0.1922182223259738</v>
      </c>
      <c r="H12" s="3">
        <v>-176664</v>
      </c>
      <c r="I12" s="69">
        <v>-0.40380804352049737</v>
      </c>
      <c r="J12" s="3">
        <v>-94700</v>
      </c>
      <c r="K12" s="69">
        <v>-0.17002588989791265</v>
      </c>
      <c r="L12" s="3">
        <v>-362535</v>
      </c>
      <c r="M12" s="75">
        <v>-0.61677220250632026</v>
      </c>
      <c r="N12" s="3">
        <v>-273314</v>
      </c>
      <c r="O12" s="69">
        <v>-0.40619018178791805</v>
      </c>
      <c r="P12" s="3">
        <v>-237967</v>
      </c>
      <c r="Q12" s="69">
        <v>-0.39662158220622185</v>
      </c>
      <c r="R12" s="3">
        <v>-196212</v>
      </c>
      <c r="S12" s="69">
        <v>-0.35549773886827457</v>
      </c>
      <c r="T12" s="3">
        <v>-205081</v>
      </c>
      <c r="U12" s="69">
        <v>-0.3036779382933229</v>
      </c>
      <c r="V12" s="3">
        <v>-143875</v>
      </c>
      <c r="W12" s="69">
        <v>-0.16786765203471346</v>
      </c>
      <c r="X12" s="3">
        <v>-143434</v>
      </c>
      <c r="Y12" s="69">
        <v>-0.15942318935296643</v>
      </c>
      <c r="Z12" s="3">
        <v>-142768</v>
      </c>
      <c r="AA12" s="69">
        <v>-0.18910720861292946</v>
      </c>
      <c r="AB12" s="3">
        <v>-83606</v>
      </c>
      <c r="AC12" s="69">
        <v>-0.10054913204424806</v>
      </c>
      <c r="AD12" s="3">
        <v>-114139</v>
      </c>
      <c r="AE12" s="69">
        <v>-0.14431953388453578</v>
      </c>
      <c r="AF12" s="3">
        <v>-130698</v>
      </c>
      <c r="AG12" s="69">
        <v>-0.16406217637393192</v>
      </c>
      <c r="AH12" s="3">
        <v>-49450</v>
      </c>
      <c r="AI12" s="69">
        <v>-5.0369956892688056E-2</v>
      </c>
      <c r="AJ12" s="3">
        <v>1366</v>
      </c>
      <c r="AK12" s="69">
        <v>1.2296247754089449E-3</v>
      </c>
      <c r="AL12" s="3">
        <v>-38967</v>
      </c>
      <c r="AM12" s="69">
        <v>-4.0918398420682338E-2</v>
      </c>
      <c r="AN12" s="3">
        <v>-167692</v>
      </c>
      <c r="AO12" s="69">
        <v>-0.26466335603696367</v>
      </c>
      <c r="AP12" s="3">
        <v>-17833</v>
      </c>
      <c r="AQ12" s="69">
        <v>-1.9599072415346912E-2</v>
      </c>
      <c r="AR12" s="3">
        <v>1953</v>
      </c>
      <c r="AS12" s="69">
        <v>1.7334652885336553E-3</v>
      </c>
      <c r="AT12" s="3">
        <v>122708</v>
      </c>
      <c r="AU12" s="69">
        <v>8.791041889055258E-2</v>
      </c>
      <c r="AV12" s="3">
        <v>42247</v>
      </c>
      <c r="AW12" s="69">
        <v>4.1545299884943307E-2</v>
      </c>
      <c r="AX12" s="3">
        <v>71533</v>
      </c>
      <c r="AY12" s="69">
        <v>6.4558721334259897E-2</v>
      </c>
      <c r="AZ12" s="3">
        <v>69647</v>
      </c>
      <c r="BA12" s="69">
        <v>5.4386437554418063E-2</v>
      </c>
      <c r="BB12" s="3">
        <v>-12655</v>
      </c>
      <c r="BC12" s="69">
        <v>-1.195325996711083E-2</v>
      </c>
      <c r="BD12" s="3">
        <v>32169</v>
      </c>
      <c r="BE12" s="69">
        <v>3.3678363203700233E-2</v>
      </c>
      <c r="BF12" s="3">
        <v>-68956</v>
      </c>
      <c r="BG12" s="70">
        <v>-8.0079061757126646E-2</v>
      </c>
      <c r="BH12" s="3">
        <v>170251</v>
      </c>
      <c r="BI12" s="4"/>
      <c r="BJ12" s="3">
        <v>211455</v>
      </c>
      <c r="BK12" s="69">
        <v>0.17304831162199186</v>
      </c>
      <c r="BL12" s="3">
        <v>251090</v>
      </c>
      <c r="BM12" s="69">
        <v>0.19446131064863287</v>
      </c>
      <c r="BN12" s="3">
        <v>300224</v>
      </c>
      <c r="BO12" s="4"/>
      <c r="BQ12" s="75">
        <f t="shared" si="2"/>
        <v>-0.31554381648455021</v>
      </c>
      <c r="BR12" s="75">
        <f t="shared" si="3"/>
        <v>-0.40072861668426607</v>
      </c>
      <c r="BS12" s="75"/>
    </row>
    <row r="13" spans="1:73">
      <c r="A13" s="52" t="s">
        <v>127</v>
      </c>
      <c r="B13" s="7">
        <v>16287</v>
      </c>
      <c r="C13" s="70"/>
      <c r="D13" s="7">
        <v>-1637</v>
      </c>
      <c r="E13" s="70"/>
      <c r="F13" s="7">
        <v>29684</v>
      </c>
      <c r="G13" s="70"/>
      <c r="H13" s="7">
        <v>14981</v>
      </c>
      <c r="I13" s="70"/>
      <c r="J13" s="7">
        <v>15602</v>
      </c>
      <c r="K13" s="70"/>
      <c r="L13" s="7">
        <v>9689</v>
      </c>
      <c r="M13" s="70"/>
      <c r="N13" s="7">
        <v>17513</v>
      </c>
      <c r="O13" s="70"/>
      <c r="P13" s="7">
        <v>20822</v>
      </c>
      <c r="Q13" s="70"/>
      <c r="R13" s="7">
        <v>10446</v>
      </c>
      <c r="S13" s="70"/>
      <c r="T13" s="7">
        <v>18080</v>
      </c>
      <c r="U13" s="70"/>
      <c r="V13" s="7">
        <v>15780</v>
      </c>
      <c r="W13" s="70"/>
      <c r="X13" s="7">
        <v>23572</v>
      </c>
      <c r="Y13" s="70"/>
      <c r="Z13" s="7">
        <v>5097</v>
      </c>
      <c r="AA13" s="70"/>
      <c r="AB13" s="7">
        <v>-300106</v>
      </c>
      <c r="AC13" s="70"/>
      <c r="AD13" s="7">
        <v>10637</v>
      </c>
      <c r="AE13" s="70"/>
      <c r="AF13" s="7">
        <v>21751</v>
      </c>
      <c r="AG13" s="70"/>
      <c r="AH13" s="7">
        <v>19046</v>
      </c>
      <c r="AI13" s="70"/>
      <c r="AJ13" s="7">
        <v>24965</v>
      </c>
      <c r="AK13" s="70"/>
      <c r="AL13" s="7">
        <v>73336</v>
      </c>
      <c r="AM13" s="70"/>
      <c r="AN13" s="7">
        <v>11088</v>
      </c>
      <c r="AO13" s="70"/>
      <c r="AP13" s="7">
        <v>23393</v>
      </c>
      <c r="AQ13" s="70"/>
      <c r="AR13" s="7">
        <v>34982</v>
      </c>
      <c r="AS13" s="70"/>
      <c r="AT13" s="7">
        <v>11432</v>
      </c>
      <c r="AU13" s="70"/>
      <c r="AV13" s="7">
        <v>6343</v>
      </c>
      <c r="AW13" s="70"/>
      <c r="AX13" s="7">
        <v>21458</v>
      </c>
      <c r="AY13" s="70"/>
      <c r="AZ13" s="7">
        <v>26054</v>
      </c>
      <c r="BA13" s="70"/>
      <c r="BB13" s="7">
        <v>8273</v>
      </c>
      <c r="BC13" s="70"/>
      <c r="BD13" s="7">
        <v>920731</v>
      </c>
      <c r="BE13" s="70"/>
      <c r="BF13" s="7">
        <v>28391</v>
      </c>
      <c r="BG13" s="25"/>
      <c r="BH13" s="7">
        <v>-23835</v>
      </c>
      <c r="BI13" s="4"/>
      <c r="BJ13" s="7">
        <v>25270</v>
      </c>
      <c r="BK13" s="4"/>
      <c r="BL13" s="7">
        <v>14601</v>
      </c>
      <c r="BM13" s="4"/>
      <c r="BN13" s="7">
        <v>28001</v>
      </c>
      <c r="BO13" s="4"/>
      <c r="BQ13" s="75">
        <f t="shared" si="2"/>
        <v>-10.949297495418449</v>
      </c>
      <c r="BR13" s="75">
        <f t="shared" si="3"/>
        <v>4.390462761184466E-2</v>
      </c>
    </row>
    <row r="14" spans="1:73">
      <c r="A14" s="52" t="s">
        <v>128</v>
      </c>
      <c r="B14" s="3">
        <f>B12+B13</f>
        <v>-40464</v>
      </c>
      <c r="C14" s="70"/>
      <c r="D14" s="3">
        <v>-84551</v>
      </c>
      <c r="E14" s="70"/>
      <c r="F14" s="3">
        <v>-64185</v>
      </c>
      <c r="G14" s="70"/>
      <c r="H14" s="3">
        <v>-161683</v>
      </c>
      <c r="I14" s="70"/>
      <c r="J14" s="3">
        <v>-79098</v>
      </c>
      <c r="K14" s="70"/>
      <c r="L14" s="3">
        <v>-352846</v>
      </c>
      <c r="M14" s="70"/>
      <c r="N14" s="3">
        <v>-255801</v>
      </c>
      <c r="O14" s="70"/>
      <c r="P14" s="3">
        <v>-217145</v>
      </c>
      <c r="Q14" s="70"/>
      <c r="R14" s="3">
        <v>-185766</v>
      </c>
      <c r="S14" s="70"/>
      <c r="T14" s="3">
        <v>-187001</v>
      </c>
      <c r="U14" s="70"/>
      <c r="V14" s="3">
        <v>-128095</v>
      </c>
      <c r="W14" s="70"/>
      <c r="X14" s="3">
        <v>-119862</v>
      </c>
      <c r="Y14" s="70"/>
      <c r="Z14" s="3">
        <v>-137671</v>
      </c>
      <c r="AA14" s="70"/>
      <c r="AB14" s="3">
        <v>-383712</v>
      </c>
      <c r="AC14" s="70"/>
      <c r="AD14" s="3">
        <v>-103502</v>
      </c>
      <c r="AE14" s="70"/>
      <c r="AF14" s="3">
        <v>-108947</v>
      </c>
      <c r="AG14" s="70"/>
      <c r="AH14" s="3">
        <v>-30404</v>
      </c>
      <c r="AI14" s="70"/>
      <c r="AJ14" s="3">
        <v>26331</v>
      </c>
      <c r="AK14" s="70"/>
      <c r="AL14" s="3">
        <v>34369</v>
      </c>
      <c r="AM14" s="70"/>
      <c r="AN14" s="3">
        <v>-156604</v>
      </c>
      <c r="AO14" s="70"/>
      <c r="AP14" s="3">
        <v>5560</v>
      </c>
      <c r="AQ14" s="70"/>
      <c r="AR14" s="3">
        <v>36935</v>
      </c>
      <c r="AS14" s="70"/>
      <c r="AT14" s="3">
        <v>134140</v>
      </c>
      <c r="AU14" s="70"/>
      <c r="AV14" s="3">
        <v>48590</v>
      </c>
      <c r="AW14" s="70"/>
      <c r="AX14" s="3">
        <v>92991</v>
      </c>
      <c r="AY14" s="70"/>
      <c r="AZ14" s="3">
        <v>95701</v>
      </c>
      <c r="BA14" s="70"/>
      <c r="BB14" s="3">
        <v>-4382</v>
      </c>
      <c r="BC14" s="70"/>
      <c r="BD14" s="3">
        <v>952900</v>
      </c>
      <c r="BE14" s="70"/>
      <c r="BF14" s="3">
        <v>-40565</v>
      </c>
      <c r="BG14" s="25"/>
      <c r="BH14" s="3">
        <v>146416</v>
      </c>
      <c r="BI14" s="4"/>
      <c r="BJ14" s="3">
        <v>236725</v>
      </c>
      <c r="BK14" s="4"/>
      <c r="BL14" s="3">
        <v>265691</v>
      </c>
      <c r="BM14" s="4"/>
      <c r="BN14" s="3">
        <v>328225</v>
      </c>
      <c r="BO14" s="4"/>
      <c r="BQ14" s="75">
        <f t="shared" si="2"/>
        <v>-0.52142493879433716</v>
      </c>
      <c r="BR14" s="75">
        <f t="shared" si="3"/>
        <v>-0.48843207160737312</v>
      </c>
    </row>
    <row r="15" spans="1:73">
      <c r="A15" s="52" t="s">
        <v>129</v>
      </c>
      <c r="B15" s="3">
        <v>10748</v>
      </c>
      <c r="C15" s="70"/>
      <c r="D15" s="3">
        <v>12909</v>
      </c>
      <c r="E15" s="70"/>
      <c r="F15" s="3">
        <v>13634</v>
      </c>
      <c r="G15" s="70"/>
      <c r="H15" s="3">
        <v>29310</v>
      </c>
      <c r="I15" s="70"/>
      <c r="J15" s="3">
        <v>15847</v>
      </c>
      <c r="K15" s="70"/>
      <c r="L15" s="3">
        <v>66959</v>
      </c>
      <c r="M15" s="70"/>
      <c r="N15" s="3">
        <v>49447</v>
      </c>
      <c r="O15" s="70"/>
      <c r="P15" s="3">
        <v>43438</v>
      </c>
      <c r="Q15" s="70"/>
      <c r="R15" s="3">
        <v>89462</v>
      </c>
      <c r="S15" s="70"/>
      <c r="T15" s="3">
        <v>36650</v>
      </c>
      <c r="U15" s="70"/>
      <c r="V15" s="3">
        <v>22581</v>
      </c>
      <c r="W15" s="70"/>
      <c r="X15" s="3">
        <v>20590</v>
      </c>
      <c r="Y15" s="70"/>
      <c r="Z15" s="3">
        <v>23704</v>
      </c>
      <c r="AA15" s="70"/>
      <c r="AB15" s="3">
        <v>10265</v>
      </c>
      <c r="AC15" s="70"/>
      <c r="AD15" s="3">
        <v>20337</v>
      </c>
      <c r="AE15" s="70"/>
      <c r="AF15" s="3">
        <v>16126</v>
      </c>
      <c r="AG15" s="70"/>
      <c r="AH15" s="3">
        <v>4529</v>
      </c>
      <c r="AI15" s="70"/>
      <c r="AJ15" s="3">
        <v>-8500</v>
      </c>
      <c r="AK15" s="70"/>
      <c r="AL15" s="3">
        <v>-3324</v>
      </c>
      <c r="AM15" s="70"/>
      <c r="AN15" s="3">
        <v>21197</v>
      </c>
      <c r="AO15" s="70"/>
      <c r="AP15" s="3">
        <v>-4937</v>
      </c>
      <c r="AQ15" s="70"/>
      <c r="AR15" s="3">
        <v>-964</v>
      </c>
      <c r="AS15" s="70"/>
      <c r="AT15" s="3">
        <v>-21890</v>
      </c>
      <c r="AU15" s="70"/>
      <c r="AV15" s="3">
        <v>-14910</v>
      </c>
      <c r="AW15" s="70"/>
      <c r="AX15" s="3">
        <v>-10242</v>
      </c>
      <c r="AY15" s="70"/>
      <c r="AZ15" s="3">
        <v>-29406</v>
      </c>
      <c r="BA15" s="70"/>
      <c r="BB15" s="3">
        <v>-39619</v>
      </c>
      <c r="BC15" s="70"/>
      <c r="BD15" s="3">
        <v>-36179</v>
      </c>
      <c r="BE15" s="70"/>
      <c r="BF15" s="3">
        <v>-7662</v>
      </c>
      <c r="BG15" s="25"/>
      <c r="BH15" s="3">
        <v>-45897</v>
      </c>
      <c r="BI15" s="4"/>
      <c r="BJ15" s="3">
        <v>-48393</v>
      </c>
      <c r="BK15" s="4"/>
      <c r="BL15" s="3">
        <v>-53018</v>
      </c>
      <c r="BM15" s="4"/>
      <c r="BN15" s="3">
        <v>-62532</v>
      </c>
      <c r="BO15" s="4"/>
      <c r="BQ15" s="75">
        <f t="shared" si="2"/>
        <v>-0.1674025873421644</v>
      </c>
      <c r="BR15" s="75">
        <f t="shared" si="3"/>
        <v>-0.32176437180538908</v>
      </c>
    </row>
    <row r="16" spans="1:73" ht="16.5">
      <c r="A16" s="53" t="s">
        <v>130</v>
      </c>
      <c r="B16" s="9">
        <f>B14+B15</f>
        <v>-29716</v>
      </c>
      <c r="C16" s="4"/>
      <c r="D16" s="9">
        <v>-71642</v>
      </c>
      <c r="E16" s="4"/>
      <c r="F16" s="9">
        <v>-50551</v>
      </c>
      <c r="G16" s="4"/>
      <c r="H16" s="9">
        <v>-132373</v>
      </c>
      <c r="I16" s="4"/>
      <c r="J16" s="9">
        <v>-63251</v>
      </c>
      <c r="K16" s="4"/>
      <c r="L16" s="9">
        <v>-285887</v>
      </c>
      <c r="M16" s="4"/>
      <c r="N16" s="9">
        <v>-206354</v>
      </c>
      <c r="O16" s="4"/>
      <c r="P16" s="9">
        <v>-173707</v>
      </c>
      <c r="Q16" s="4"/>
      <c r="R16" s="9">
        <v>-96304</v>
      </c>
      <c r="S16" s="4"/>
      <c r="T16" s="9">
        <v>-150351</v>
      </c>
      <c r="U16" s="4"/>
      <c r="V16" s="9">
        <v>-105514</v>
      </c>
      <c r="W16" s="4"/>
      <c r="X16" s="9">
        <v>-99272</v>
      </c>
      <c r="Y16" s="4"/>
      <c r="Z16" s="9">
        <v>-113967</v>
      </c>
      <c r="AA16" s="4"/>
      <c r="AB16" s="9">
        <v>-373447</v>
      </c>
      <c r="AC16" s="4"/>
      <c r="AD16" s="9">
        <v>-83165</v>
      </c>
      <c r="AE16" s="4"/>
      <c r="AF16" s="9">
        <v>-92821</v>
      </c>
      <c r="AG16" s="4"/>
      <c r="AH16" s="9">
        <v>-25875</v>
      </c>
      <c r="AI16" s="4"/>
      <c r="AJ16" s="9">
        <v>17831</v>
      </c>
      <c r="AK16" s="4"/>
      <c r="AL16" s="9">
        <v>31045</v>
      </c>
      <c r="AM16" s="4"/>
      <c r="AN16" s="9">
        <v>-135407</v>
      </c>
      <c r="AO16" s="4"/>
      <c r="AP16" s="9">
        <v>623</v>
      </c>
      <c r="AQ16" s="4"/>
      <c r="AR16" s="9">
        <v>35971</v>
      </c>
      <c r="AS16" s="4"/>
      <c r="AT16" s="9">
        <v>112250</v>
      </c>
      <c r="AU16" s="4"/>
      <c r="AV16" s="9">
        <v>33680</v>
      </c>
      <c r="AW16" s="4"/>
      <c r="AX16" s="9">
        <v>82749</v>
      </c>
      <c r="AY16" s="69"/>
      <c r="AZ16" s="9">
        <v>66295</v>
      </c>
      <c r="BA16" s="69">
        <v>5.1768904298392544E-2</v>
      </c>
      <c r="BB16" s="9">
        <v>-44001</v>
      </c>
      <c r="BC16" s="69">
        <v>-4.1561074027091534E-2</v>
      </c>
      <c r="BD16" s="9">
        <v>916721</v>
      </c>
      <c r="BE16" s="69"/>
      <c r="BF16" s="9">
        <v>-48227</v>
      </c>
      <c r="BG16" s="25">
        <v>-5.6006336089114026E-2</v>
      </c>
      <c r="BH16" s="9">
        <v>100519</v>
      </c>
      <c r="BI16" s="4">
        <v>8.4891709632332141E-2</v>
      </c>
      <c r="BJ16" s="9">
        <v>188332</v>
      </c>
      <c r="BK16" s="4">
        <v>0.15412515487641804</v>
      </c>
      <c r="BL16" s="9">
        <v>212673</v>
      </c>
      <c r="BM16" s="4">
        <v>0.16470855199162335</v>
      </c>
      <c r="BN16" s="9">
        <v>265693</v>
      </c>
      <c r="BO16" s="4">
        <f>BN16/BN3</f>
        <v>0.18640505194151905</v>
      </c>
      <c r="BQ16" s="75">
        <f t="shared" si="2"/>
        <v>-0.58521537645515198</v>
      </c>
      <c r="BR16" s="75">
        <f t="shared" si="3"/>
        <v>-0.53018924601982576</v>
      </c>
    </row>
    <row r="17" spans="1:70">
      <c r="A17" s="52"/>
      <c r="B17" s="8"/>
      <c r="C17" s="69"/>
      <c r="D17" s="8"/>
      <c r="E17" s="69"/>
      <c r="F17" s="8"/>
      <c r="G17" s="69"/>
      <c r="H17" s="8"/>
      <c r="I17" s="69"/>
      <c r="J17" s="8"/>
      <c r="K17" s="69"/>
      <c r="L17" s="8"/>
      <c r="M17" s="69"/>
      <c r="N17" s="8"/>
      <c r="O17" s="69"/>
      <c r="P17" s="8"/>
      <c r="Q17" s="69"/>
      <c r="R17" s="8"/>
      <c r="S17" s="69"/>
      <c r="T17" s="8"/>
      <c r="U17" s="69"/>
      <c r="V17" s="8"/>
      <c r="W17" s="69"/>
      <c r="X17" s="8"/>
      <c r="Y17" s="69"/>
      <c r="Z17" s="8"/>
      <c r="AA17" s="69"/>
      <c r="AB17" s="8"/>
      <c r="AC17" s="69"/>
      <c r="AD17" s="8"/>
      <c r="AE17" s="69"/>
      <c r="AF17" s="8"/>
      <c r="AG17" s="69"/>
      <c r="AH17" s="8"/>
      <c r="AI17" s="69"/>
      <c r="AJ17" s="8"/>
      <c r="AK17" s="69"/>
      <c r="AL17" s="8"/>
      <c r="AM17" s="69"/>
      <c r="AN17" s="8"/>
      <c r="AO17" s="69"/>
      <c r="AP17" s="8"/>
      <c r="AQ17" s="69"/>
      <c r="AR17" s="8"/>
      <c r="AS17" s="69"/>
      <c r="AT17" s="8"/>
      <c r="AU17" s="69"/>
      <c r="AV17" s="8"/>
      <c r="AW17" s="69"/>
      <c r="AX17" s="8"/>
      <c r="AY17" s="69"/>
      <c r="AZ17" s="8"/>
      <c r="BA17" s="69"/>
      <c r="BB17" s="8"/>
      <c r="BC17" s="69"/>
      <c r="BD17" s="8"/>
      <c r="BE17" s="69"/>
      <c r="BF17" s="8"/>
      <c r="BG17" s="6"/>
      <c r="BH17" s="8"/>
      <c r="BI17" s="6"/>
      <c r="BJ17" s="8"/>
      <c r="BK17" s="6"/>
      <c r="BL17" s="8"/>
      <c r="BM17" s="6"/>
      <c r="BN17" s="8"/>
      <c r="BO17" s="6"/>
      <c r="BQ17" s="10"/>
      <c r="BR17" s="10"/>
    </row>
    <row r="18" spans="1:70" ht="16.5">
      <c r="A18" s="53" t="s">
        <v>197</v>
      </c>
      <c r="B18" s="8"/>
      <c r="C18" s="69"/>
      <c r="D18" s="8"/>
      <c r="E18" s="69"/>
      <c r="F18" s="8"/>
      <c r="G18" s="69"/>
      <c r="H18" s="8"/>
      <c r="I18" s="69"/>
      <c r="J18" s="8"/>
      <c r="K18" s="69"/>
      <c r="L18" s="8"/>
      <c r="M18" s="69"/>
      <c r="N18" s="8"/>
      <c r="O18" s="69"/>
      <c r="P18" s="8"/>
      <c r="Q18" s="69"/>
      <c r="R18" s="8"/>
      <c r="S18" s="69"/>
      <c r="T18" s="8"/>
      <c r="U18" s="69"/>
      <c r="V18" s="8"/>
      <c r="W18" s="69"/>
      <c r="X18" s="8"/>
      <c r="Y18" s="69"/>
      <c r="Z18" s="8"/>
      <c r="AA18" s="69"/>
      <c r="AB18" s="8"/>
      <c r="AC18" s="69"/>
      <c r="AD18" s="8"/>
      <c r="AE18" s="69"/>
      <c r="AF18" s="8"/>
      <c r="AG18" s="69"/>
      <c r="AH18" s="8"/>
      <c r="AI18" s="69"/>
      <c r="AJ18" s="8"/>
      <c r="AK18" s="69"/>
      <c r="AL18" s="8"/>
      <c r="AM18" s="69"/>
      <c r="AN18" s="8"/>
      <c r="AO18" s="69"/>
      <c r="AP18" s="8"/>
      <c r="AQ18" s="69"/>
      <c r="AR18" s="8"/>
      <c r="AS18" s="69"/>
      <c r="AT18" s="8"/>
      <c r="AU18" s="69"/>
      <c r="AV18" s="8"/>
      <c r="AW18" s="69"/>
      <c r="AX18" s="8"/>
      <c r="AY18" s="69"/>
      <c r="AZ18" s="8"/>
      <c r="BA18" s="69"/>
      <c r="BB18" s="8"/>
      <c r="BC18" s="69"/>
      <c r="BD18" s="8"/>
      <c r="BE18" s="69"/>
      <c r="BF18" s="8"/>
      <c r="BG18" s="6"/>
      <c r="BH18" s="8"/>
      <c r="BI18" s="6"/>
      <c r="BJ18" s="8"/>
      <c r="BK18" s="6"/>
      <c r="BL18" s="8"/>
      <c r="BM18" s="6"/>
      <c r="BN18" s="8"/>
      <c r="BO18" s="6"/>
      <c r="BQ18" s="10"/>
      <c r="BR18" s="10"/>
    </row>
    <row r="19" spans="1:70">
      <c r="A19" s="52" t="s">
        <v>198</v>
      </c>
      <c r="B19" s="3">
        <v>-28669</v>
      </c>
      <c r="C19" s="69"/>
      <c r="D19" s="3">
        <v>-70195</v>
      </c>
      <c r="E19" s="69"/>
      <c r="F19" s="3">
        <v>-50846</v>
      </c>
      <c r="G19" s="69"/>
      <c r="H19" s="3">
        <v>-132327</v>
      </c>
      <c r="I19" s="69"/>
      <c r="J19" s="3">
        <v>-63605</v>
      </c>
      <c r="K19" s="69"/>
      <c r="L19" s="3">
        <v>-285887</v>
      </c>
      <c r="M19" s="69"/>
      <c r="N19" s="3">
        <v>-206354</v>
      </c>
      <c r="O19" s="69"/>
      <c r="P19" s="3">
        <v>-173707</v>
      </c>
      <c r="Q19" s="69"/>
      <c r="R19" s="3">
        <v>-96304</v>
      </c>
      <c r="S19" s="69"/>
      <c r="T19" s="8"/>
      <c r="U19" s="69"/>
      <c r="V19" s="8"/>
      <c r="W19" s="69"/>
      <c r="X19" s="8"/>
      <c r="Y19" s="69"/>
      <c r="Z19" s="8"/>
      <c r="AA19" s="69"/>
      <c r="AB19" s="8"/>
      <c r="AC19" s="69"/>
      <c r="AD19" s="8"/>
      <c r="AE19" s="69"/>
      <c r="AF19" s="8"/>
      <c r="AG19" s="69"/>
      <c r="AH19" s="8"/>
      <c r="AI19" s="69"/>
      <c r="AJ19" s="8"/>
      <c r="AK19" s="69"/>
      <c r="AL19" s="8"/>
      <c r="AM19" s="69"/>
      <c r="AN19" s="8"/>
      <c r="AO19" s="69"/>
      <c r="AP19" s="8"/>
      <c r="AQ19" s="69"/>
      <c r="AR19" s="8"/>
      <c r="AS19" s="69"/>
      <c r="AT19" s="8"/>
      <c r="AU19" s="69"/>
      <c r="AV19" s="8"/>
      <c r="AW19" s="69"/>
      <c r="AX19" s="8"/>
      <c r="AY19" s="69"/>
      <c r="AZ19" s="8"/>
      <c r="BA19" s="69"/>
      <c r="BB19" s="8"/>
      <c r="BC19" s="69"/>
      <c r="BD19" s="8"/>
      <c r="BE19" s="69"/>
      <c r="BF19" s="8"/>
      <c r="BG19" s="6"/>
      <c r="BH19" s="8"/>
      <c r="BI19" s="6"/>
      <c r="BJ19" s="8"/>
      <c r="BK19" s="6"/>
      <c r="BL19" s="8"/>
      <c r="BM19" s="6"/>
      <c r="BN19" s="8"/>
      <c r="BO19" s="6"/>
      <c r="BQ19" s="10"/>
      <c r="BR19" s="10"/>
    </row>
    <row r="20" spans="1:70">
      <c r="A20" s="52" t="s">
        <v>199</v>
      </c>
      <c r="B20" s="3">
        <v>-1047</v>
      </c>
      <c r="C20" s="69"/>
      <c r="D20" s="3">
        <v>-1447</v>
      </c>
      <c r="E20" s="69"/>
      <c r="F20" s="3">
        <v>295</v>
      </c>
      <c r="G20" s="69"/>
      <c r="H20" s="3">
        <v>-46</v>
      </c>
      <c r="I20" s="69"/>
      <c r="J20" s="98">
        <v>354</v>
      </c>
      <c r="K20" s="69"/>
      <c r="L20" s="98"/>
      <c r="M20" s="69"/>
      <c r="N20" s="98"/>
      <c r="O20" s="69"/>
      <c r="P20" s="98"/>
      <c r="Q20" s="69"/>
      <c r="R20" s="98"/>
      <c r="S20" s="69"/>
      <c r="T20" s="8"/>
      <c r="U20" s="69"/>
      <c r="V20" s="8"/>
      <c r="W20" s="69"/>
      <c r="X20" s="8"/>
      <c r="Y20" s="69"/>
      <c r="Z20" s="8"/>
      <c r="AA20" s="69"/>
      <c r="AB20" s="8"/>
      <c r="AC20" s="69"/>
      <c r="AD20" s="8"/>
      <c r="AE20" s="69"/>
      <c r="AF20" s="8"/>
      <c r="AG20" s="69"/>
      <c r="AH20" s="8"/>
      <c r="AI20" s="69"/>
      <c r="AJ20" s="8"/>
      <c r="AK20" s="69"/>
      <c r="AL20" s="8"/>
      <c r="AM20" s="69"/>
      <c r="AN20" s="8"/>
      <c r="AO20" s="69"/>
      <c r="AP20" s="8"/>
      <c r="AQ20" s="69"/>
      <c r="AR20" s="8"/>
      <c r="AS20" s="69"/>
      <c r="AT20" s="8"/>
      <c r="AU20" s="69"/>
      <c r="AV20" s="8"/>
      <c r="AW20" s="69"/>
      <c r="AX20" s="8"/>
      <c r="AY20" s="69"/>
      <c r="AZ20" s="8"/>
      <c r="BA20" s="69"/>
      <c r="BB20" s="8"/>
      <c r="BC20" s="69"/>
      <c r="BD20" s="8"/>
      <c r="BE20" s="69"/>
      <c r="BF20" s="8"/>
      <c r="BG20" s="6"/>
      <c r="BH20" s="8"/>
      <c r="BI20" s="6"/>
      <c r="BJ20" s="8"/>
      <c r="BK20" s="6"/>
      <c r="BL20" s="8"/>
      <c r="BM20" s="6"/>
      <c r="BN20" s="8"/>
      <c r="BO20" s="6"/>
      <c r="BQ20" s="10"/>
      <c r="BR20" s="10"/>
    </row>
    <row r="21" spans="1:70" ht="16.5">
      <c r="A21" s="53" t="s">
        <v>130</v>
      </c>
      <c r="B21" s="9">
        <f>B19+B20</f>
        <v>-29716</v>
      </c>
      <c r="C21" s="69"/>
      <c r="D21" s="9">
        <v>-71642</v>
      </c>
      <c r="E21" s="69"/>
      <c r="F21" s="9">
        <v>-50551</v>
      </c>
      <c r="G21" s="69"/>
      <c r="H21" s="9">
        <v>-132373</v>
      </c>
      <c r="I21" s="69"/>
      <c r="J21" s="9">
        <v>-63251</v>
      </c>
      <c r="K21" s="69"/>
      <c r="L21" s="9">
        <v>-285887</v>
      </c>
      <c r="M21" s="69"/>
      <c r="N21" s="9">
        <v>-206354</v>
      </c>
      <c r="O21" s="69"/>
      <c r="P21" s="9">
        <v>-173707</v>
      </c>
      <c r="Q21" s="69"/>
      <c r="R21" s="9">
        <v>-96304</v>
      </c>
      <c r="S21" s="69"/>
      <c r="T21" s="8"/>
      <c r="U21" s="69"/>
      <c r="V21" s="8"/>
      <c r="W21" s="69"/>
      <c r="X21" s="8"/>
      <c r="Y21" s="69"/>
      <c r="Z21" s="8"/>
      <c r="AA21" s="69"/>
      <c r="AB21" s="8"/>
      <c r="AC21" s="69"/>
      <c r="AD21" s="8"/>
      <c r="AE21" s="69"/>
      <c r="AF21" s="8"/>
      <c r="AG21" s="69"/>
      <c r="AH21" s="8"/>
      <c r="AI21" s="69"/>
      <c r="AJ21" s="8"/>
      <c r="AK21" s="69"/>
      <c r="AL21" s="8"/>
      <c r="AM21" s="69"/>
      <c r="AN21" s="8"/>
      <c r="AO21" s="69"/>
      <c r="AP21" s="8"/>
      <c r="AQ21" s="69"/>
      <c r="AR21" s="8"/>
      <c r="AS21" s="69"/>
      <c r="AT21" s="8"/>
      <c r="AU21" s="69"/>
      <c r="AV21" s="8"/>
      <c r="AW21" s="69"/>
      <c r="AX21" s="8"/>
      <c r="AY21" s="69"/>
      <c r="AZ21" s="8"/>
      <c r="BA21" s="69"/>
      <c r="BB21" s="8"/>
      <c r="BC21" s="69"/>
      <c r="BD21" s="8"/>
      <c r="BE21" s="69"/>
      <c r="BF21" s="8"/>
      <c r="BG21" s="6"/>
      <c r="BH21" s="8"/>
      <c r="BI21" s="6"/>
      <c r="BJ21" s="8"/>
      <c r="BK21" s="6"/>
      <c r="BL21" s="8"/>
      <c r="BM21" s="6"/>
      <c r="BN21" s="8"/>
      <c r="BO21" s="6"/>
      <c r="BQ21" s="10"/>
      <c r="BR21" s="10"/>
    </row>
    <row r="22" spans="1:70">
      <c r="B22" s="5"/>
      <c r="C22" s="69"/>
      <c r="D22" s="5"/>
      <c r="E22" s="69"/>
      <c r="F22" s="5"/>
      <c r="G22" s="69"/>
      <c r="H22" s="5"/>
      <c r="I22" s="69"/>
      <c r="J22" s="5"/>
      <c r="K22" s="69"/>
      <c r="L22" s="5"/>
      <c r="M22" s="69"/>
      <c r="N22" s="5"/>
      <c r="O22" s="69"/>
      <c r="P22" s="5"/>
      <c r="Q22" s="69"/>
      <c r="R22" s="5"/>
      <c r="S22" s="69"/>
      <c r="T22" s="5"/>
      <c r="U22" s="69"/>
      <c r="V22" s="5"/>
      <c r="W22" s="69"/>
      <c r="X22" s="5"/>
      <c r="Y22" s="69"/>
      <c r="Z22" s="5"/>
      <c r="AA22" s="69"/>
      <c r="AB22" s="5"/>
      <c r="AC22" s="69"/>
      <c r="AD22" s="5"/>
      <c r="AE22" s="69"/>
      <c r="AF22" s="5"/>
      <c r="AG22" s="69"/>
      <c r="AH22" s="5"/>
      <c r="AI22" s="69"/>
      <c r="AJ22" s="5"/>
      <c r="AK22" s="69"/>
      <c r="AL22" s="5"/>
      <c r="AM22" s="69"/>
      <c r="AN22" s="5"/>
      <c r="AO22" s="69"/>
      <c r="AP22" s="5"/>
      <c r="AQ22" s="69"/>
      <c r="AR22" s="5"/>
      <c r="AS22" s="69"/>
      <c r="AT22" s="5"/>
      <c r="AU22" s="69"/>
      <c r="AV22" s="5"/>
      <c r="AW22" s="69"/>
      <c r="AX22" s="5"/>
      <c r="AY22" s="69"/>
      <c r="AZ22" s="5"/>
      <c r="BA22" s="69"/>
      <c r="BB22" s="5"/>
      <c r="BC22" s="69"/>
      <c r="BD22" s="5"/>
      <c r="BE22" s="69"/>
      <c r="BF22" s="5"/>
      <c r="BG22" s="6"/>
      <c r="BH22" s="5"/>
      <c r="BI22" s="6"/>
      <c r="BJ22" s="5"/>
      <c r="BK22" s="6"/>
      <c r="BL22" s="5"/>
      <c r="BM22" s="6"/>
      <c r="BN22" s="5"/>
      <c r="BO22" s="6"/>
    </row>
    <row r="23" spans="1:70">
      <c r="A23" s="52" t="s">
        <v>16</v>
      </c>
      <c r="B23" s="84">
        <v>-0.15</v>
      </c>
      <c r="C23" s="69"/>
      <c r="D23" s="84">
        <v>-0.36999999999999988</v>
      </c>
      <c r="E23" s="69"/>
      <c r="F23" s="84">
        <v>-0.27</v>
      </c>
      <c r="G23" s="69"/>
      <c r="H23" s="84">
        <v>-0.7</v>
      </c>
      <c r="I23" s="69"/>
      <c r="J23" s="84">
        <v>-0.34</v>
      </c>
      <c r="K23" s="69"/>
      <c r="L23" s="84">
        <v>-2.0299999999999998</v>
      </c>
      <c r="M23" s="69"/>
      <c r="N23" s="84">
        <v>-1.1000000000000001</v>
      </c>
      <c r="O23" s="69"/>
      <c r="P23" s="84">
        <v>-0.59</v>
      </c>
      <c r="Q23" s="69"/>
      <c r="R23" s="84">
        <v>-0.33</v>
      </c>
      <c r="S23" s="69"/>
      <c r="T23" s="84">
        <v>-0.51000000000000012</v>
      </c>
      <c r="U23" s="69"/>
      <c r="V23" s="84">
        <v>-0.36</v>
      </c>
      <c r="W23" s="69"/>
      <c r="X23" s="84">
        <v>-0.34</v>
      </c>
      <c r="Y23" s="69"/>
      <c r="Z23" s="84">
        <v>-0.39</v>
      </c>
      <c r="AA23" s="69"/>
      <c r="AB23" s="84">
        <v>-1.2699999999999998</v>
      </c>
      <c r="AC23" s="69"/>
      <c r="AD23" s="84">
        <v>-0.28000000000000003</v>
      </c>
      <c r="AE23" s="69"/>
      <c r="AF23" s="84">
        <v>-0.31</v>
      </c>
      <c r="AG23" s="69"/>
      <c r="AH23" s="84">
        <v>-0.09</v>
      </c>
      <c r="AI23" s="69"/>
      <c r="AJ23" s="84">
        <v>0.06</v>
      </c>
      <c r="AK23" s="69"/>
      <c r="AL23" s="84">
        <v>0.11</v>
      </c>
      <c r="AM23" s="69"/>
      <c r="AN23" s="84">
        <v>-0.46</v>
      </c>
      <c r="AO23" s="69"/>
      <c r="AP23" s="11">
        <v>0</v>
      </c>
      <c r="AQ23" s="69"/>
      <c r="AR23" s="11">
        <v>0.12</v>
      </c>
      <c r="AS23" s="69"/>
      <c r="AT23" s="11">
        <v>0.38</v>
      </c>
      <c r="AU23" s="69"/>
      <c r="AV23" s="11">
        <v>0.12</v>
      </c>
      <c r="AW23" s="69"/>
      <c r="AX23" s="11">
        <v>0.28000000000000003</v>
      </c>
      <c r="AY23" s="69"/>
      <c r="AZ23" s="11">
        <v>0.23</v>
      </c>
      <c r="BA23" s="69"/>
      <c r="BB23" s="11">
        <v>-0.15</v>
      </c>
      <c r="BC23" s="69"/>
      <c r="BD23" s="11">
        <v>3.13</v>
      </c>
      <c r="BE23" s="69"/>
      <c r="BF23" s="11">
        <v>-0.16</v>
      </c>
      <c r="BG23" s="6"/>
      <c r="BH23" s="11">
        <v>0.3400000000000003</v>
      </c>
      <c r="BI23" s="6"/>
      <c r="BJ23" s="11">
        <v>0.64</v>
      </c>
      <c r="BK23" s="6"/>
      <c r="BL23" s="11">
        <v>0.73</v>
      </c>
      <c r="BM23" s="6"/>
      <c r="BN23" s="11">
        <v>0.91</v>
      </c>
      <c r="BO23" s="6"/>
    </row>
    <row r="24" spans="1:70">
      <c r="B24" s="10"/>
      <c r="C24" s="69"/>
      <c r="D24" s="10"/>
      <c r="E24" s="69"/>
      <c r="F24" s="10"/>
      <c r="G24" s="69"/>
      <c r="H24" s="10"/>
      <c r="I24" s="69"/>
      <c r="J24" s="10"/>
      <c r="K24" s="69"/>
      <c r="L24" s="10"/>
      <c r="M24" s="69"/>
      <c r="N24" s="10"/>
      <c r="O24" s="69"/>
      <c r="P24" s="10"/>
      <c r="Q24" s="69"/>
      <c r="R24" s="10"/>
      <c r="S24" s="69"/>
      <c r="T24" s="10"/>
      <c r="U24" s="69"/>
      <c r="V24" s="10"/>
      <c r="W24" s="69"/>
      <c r="X24" s="10"/>
      <c r="Y24" s="69"/>
      <c r="Z24" s="10"/>
      <c r="AA24" s="69"/>
      <c r="AB24" s="10"/>
      <c r="AC24" s="69"/>
      <c r="AD24" s="10"/>
      <c r="AE24" s="69"/>
      <c r="AF24" s="10"/>
      <c r="AG24" s="69"/>
      <c r="AH24" s="10"/>
      <c r="AI24" s="69"/>
      <c r="AJ24" s="10"/>
      <c r="AK24" s="69"/>
      <c r="AL24" s="10"/>
      <c r="AM24" s="69"/>
      <c r="AN24" s="10"/>
      <c r="AO24" s="69"/>
      <c r="AP24" s="10"/>
      <c r="AQ24" s="69"/>
      <c r="AR24" s="10"/>
      <c r="AS24" s="69"/>
      <c r="AT24" s="10"/>
      <c r="AU24" s="69"/>
      <c r="AV24" s="10"/>
      <c r="AW24" s="69"/>
      <c r="AX24" s="10"/>
      <c r="AY24" s="69"/>
      <c r="AZ24" s="10"/>
      <c r="BA24" s="69"/>
      <c r="BB24" s="10"/>
      <c r="BC24" s="69"/>
      <c r="BD24" s="10"/>
      <c r="BE24" s="69"/>
      <c r="BF24" s="10"/>
      <c r="BH24" s="10"/>
      <c r="BJ24" s="10"/>
      <c r="BL24" s="10"/>
      <c r="BN24" s="10"/>
    </row>
  </sheetData>
  <customSheetViews>
    <customSheetView guid="{6CC4FA47-4F74-48A0-8033-8683B05A3BC4}" topLeftCell="A7">
      <selection activeCell="B17" sqref="B17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293A8923-ED08-4701-85A2-A97D5F3D44EF}" fitToPage="1" printArea="1" hiddenRows="1" hiddenColumns="1">
      <selection activeCell="AL11" sqref="AL11"/>
      <pageMargins left="0.70866141732283472" right="0.70866141732283472" top="0.74803149606299213" bottom="0.74803149606299213" header="0.31496062992125984" footer="0.31496062992125984"/>
      <pageSetup paperSize="9" scale="77" orientation="landscape" r:id="rId2"/>
    </customSheetView>
  </customSheetViews>
  <mergeCells count="33">
    <mergeCell ref="D2:E2"/>
    <mergeCell ref="B2:C2"/>
    <mergeCell ref="X2:Y2"/>
    <mergeCell ref="Z2:AA2"/>
    <mergeCell ref="F2:G2"/>
    <mergeCell ref="H2:I2"/>
    <mergeCell ref="J2:K2"/>
    <mergeCell ref="L2:M2"/>
    <mergeCell ref="N2:O2"/>
    <mergeCell ref="BN2:BO2"/>
    <mergeCell ref="BD2:BE2"/>
    <mergeCell ref="BL2:BM2"/>
    <mergeCell ref="AZ2:BA2"/>
    <mergeCell ref="BB2:BC2"/>
    <mergeCell ref="BJ2:BK2"/>
    <mergeCell ref="BF2:BG2"/>
    <mergeCell ref="BH2:BI2"/>
    <mergeCell ref="AX2:AY2"/>
    <mergeCell ref="AL2:AM2"/>
    <mergeCell ref="AN2:AO2"/>
    <mergeCell ref="AJ2:AK2"/>
    <mergeCell ref="P2:Q2"/>
    <mergeCell ref="R2:S2"/>
    <mergeCell ref="AB2:AC2"/>
    <mergeCell ref="AP2:AQ2"/>
    <mergeCell ref="AH2:AI2"/>
    <mergeCell ref="AR2:AS2"/>
    <mergeCell ref="AT2:AU2"/>
    <mergeCell ref="AV2:AW2"/>
    <mergeCell ref="AD2:AE2"/>
    <mergeCell ref="AF2:AG2"/>
    <mergeCell ref="T2:U2"/>
    <mergeCell ref="V2:W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3"/>
  <headerFooter>
    <oddHeader>&amp;L&amp;G</oddHeader>
    <oddFooter>&amp;R&amp;"Arial,Bold Italic"&amp;10&amp;K008E94Strictly Confidential</oddFooter>
  </headerFooter>
  <drawing r:id="rId4"/>
  <legacyDrawing r:id="rId5"/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zoomScaleNormal="100" workbookViewId="0">
      <selection activeCell="D16" sqref="D16"/>
    </sheetView>
  </sheetViews>
  <sheetFormatPr defaultColWidth="9" defaultRowHeight="15.75"/>
  <cols>
    <col min="1" max="1" width="46.875" style="20" customWidth="1"/>
    <col min="2" max="2" width="20.625" style="19" customWidth="1"/>
    <col min="3" max="3" width="3.625" style="19" customWidth="1"/>
    <col min="4" max="4" width="20.625" style="19" customWidth="1"/>
    <col min="5" max="5" width="3.625" style="18" customWidth="1"/>
    <col min="6" max="6" width="20.625" style="19" hidden="1" customWidth="1"/>
    <col min="7" max="7" width="3.625" style="18" hidden="1" customWidth="1"/>
    <col min="8" max="8" width="19.375" style="19" hidden="1" customWidth="1"/>
    <col min="9" max="9" width="2.125" style="18" hidden="1" customWidth="1"/>
    <col min="10" max="10" width="19.875" style="19" hidden="1" customWidth="1"/>
    <col min="11" max="11" width="2.125" style="18" hidden="1" customWidth="1"/>
    <col min="12" max="12" width="18.875" style="19" hidden="1" customWidth="1"/>
    <col min="13" max="13" width="0" style="12" hidden="1" customWidth="1"/>
    <col min="14" max="16384" width="9" style="12"/>
  </cols>
  <sheetData>
    <row r="1" spans="1:12" ht="76.5" customHeight="1"/>
    <row r="2" spans="1:12">
      <c r="A2" s="56" t="s">
        <v>35</v>
      </c>
    </row>
    <row r="3" spans="1:12" ht="17.25" thickBot="1">
      <c r="A3" s="55" t="s">
        <v>36</v>
      </c>
      <c r="B3" s="57">
        <v>43830</v>
      </c>
      <c r="C3" s="111"/>
      <c r="D3" s="57">
        <v>43465</v>
      </c>
      <c r="E3" s="22"/>
      <c r="F3" s="57">
        <v>43100</v>
      </c>
      <c r="G3" s="22"/>
      <c r="H3" s="57">
        <v>42735</v>
      </c>
      <c r="I3" s="22"/>
      <c r="J3" s="57">
        <v>42369</v>
      </c>
      <c r="K3" s="22"/>
      <c r="L3" s="57">
        <v>42004</v>
      </c>
    </row>
    <row r="4" spans="1:12">
      <c r="A4" s="54" t="s">
        <v>115</v>
      </c>
      <c r="B4" s="27">
        <f>1335729+33203+516575</f>
        <v>1885507</v>
      </c>
      <c r="C4" s="112"/>
      <c r="D4" s="27">
        <f>716824+414402+1225679</f>
        <v>2356905</v>
      </c>
      <c r="E4" s="23"/>
      <c r="F4" s="27">
        <f>707736+424420+32238+1738948</f>
        <v>2903342</v>
      </c>
      <c r="G4" s="23"/>
      <c r="H4" s="27">
        <f>1055280+141085+31058+41618+2296317</f>
        <v>3565358</v>
      </c>
      <c r="I4" s="23"/>
      <c r="J4" s="27">
        <f>674166+258997+50932+3001141</f>
        <v>3985236</v>
      </c>
      <c r="K4" s="23"/>
      <c r="L4" s="27">
        <f>418878+129338+52911+3515319</f>
        <v>4116446</v>
      </c>
    </row>
    <row r="5" spans="1:12">
      <c r="A5" s="54" t="s">
        <v>21</v>
      </c>
      <c r="B5" s="82">
        <v>215151</v>
      </c>
      <c r="C5" s="112"/>
      <c r="D5" s="82">
        <v>222324</v>
      </c>
      <c r="E5" s="23"/>
      <c r="F5" s="82">
        <f>281223</f>
        <v>281223</v>
      </c>
      <c r="G5" s="23"/>
      <c r="H5" s="82">
        <f>238759</f>
        <v>238759</v>
      </c>
      <c r="I5" s="23"/>
      <c r="J5" s="82">
        <v>262039</v>
      </c>
      <c r="K5" s="23"/>
      <c r="L5" s="82">
        <v>164134</v>
      </c>
    </row>
    <row r="6" spans="1:12">
      <c r="A6" s="54" t="s">
        <v>22</v>
      </c>
      <c r="B6" s="27">
        <v>204225</v>
      </c>
      <c r="C6" s="112"/>
      <c r="D6" s="27">
        <v>294158</v>
      </c>
      <c r="E6" s="23"/>
      <c r="F6" s="27">
        <v>588499</v>
      </c>
      <c r="G6" s="23"/>
      <c r="H6" s="27">
        <v>552363</v>
      </c>
      <c r="I6" s="23"/>
      <c r="J6" s="27">
        <v>448137</v>
      </c>
      <c r="K6" s="23"/>
      <c r="L6" s="27">
        <v>512045</v>
      </c>
    </row>
    <row r="7" spans="1:12">
      <c r="A7" s="54" t="s">
        <v>23</v>
      </c>
      <c r="B7" s="82">
        <f>95966+5360+42607</f>
        <v>143933</v>
      </c>
      <c r="C7" s="112"/>
      <c r="D7" s="82">
        <f>179774+9612+11861</f>
        <v>201247</v>
      </c>
      <c r="E7" s="23"/>
      <c r="F7" s="82">
        <f>238724+4941+17046</f>
        <v>260711</v>
      </c>
      <c r="G7" s="23"/>
      <c r="H7" s="82">
        <f>283628+7942+31451</f>
        <v>323021</v>
      </c>
      <c r="I7" s="23"/>
      <c r="J7" s="82">
        <f>427104+49184</f>
        <v>476288</v>
      </c>
      <c r="K7" s="23"/>
      <c r="L7" s="82">
        <f>457267+108434</f>
        <v>565701</v>
      </c>
    </row>
    <row r="8" spans="1:12" ht="16.5">
      <c r="A8" s="55" t="s">
        <v>24</v>
      </c>
      <c r="B8" s="27">
        <f>SUM(B4:B7)</f>
        <v>2448816</v>
      </c>
      <c r="C8" s="113"/>
      <c r="D8" s="27">
        <f>SUM(D4:D7)</f>
        <v>3074634</v>
      </c>
      <c r="E8" s="23"/>
      <c r="F8" s="27">
        <f>SUM(F4:F7)</f>
        <v>4033775</v>
      </c>
      <c r="G8" s="23"/>
      <c r="H8" s="27">
        <f>SUM(H4:H7)</f>
        <v>4679501</v>
      </c>
      <c r="I8" s="23"/>
      <c r="J8" s="27">
        <f>SUM(J4:J7)</f>
        <v>5171700</v>
      </c>
      <c r="K8" s="23"/>
      <c r="L8" s="27">
        <f>SUM(L4:L7)</f>
        <v>5358326</v>
      </c>
    </row>
    <row r="9" spans="1:12">
      <c r="A9" s="54" t="s">
        <v>162</v>
      </c>
      <c r="B9" s="27">
        <f>51934+17167</f>
        <v>69101</v>
      </c>
      <c r="C9" s="112"/>
      <c r="D9" s="27">
        <f>56031+17781</f>
        <v>73812</v>
      </c>
      <c r="E9" s="23"/>
      <c r="F9" s="27">
        <f>57010+18199</f>
        <v>75209</v>
      </c>
      <c r="G9" s="23"/>
      <c r="H9" s="27">
        <v>60410</v>
      </c>
      <c r="I9" s="23"/>
      <c r="J9" s="27">
        <f>68489+45224+810</f>
        <v>114523</v>
      </c>
      <c r="K9" s="23"/>
      <c r="L9" s="27">
        <f>44444+46306+4871</f>
        <v>95621</v>
      </c>
    </row>
    <row r="10" spans="1:12">
      <c r="A10" s="54" t="s">
        <v>25</v>
      </c>
      <c r="B10" s="27">
        <f>345897+243301</f>
        <v>589198</v>
      </c>
      <c r="C10" s="112"/>
      <c r="D10" s="27">
        <f>476488+132964</f>
        <v>609452</v>
      </c>
      <c r="E10" s="23"/>
      <c r="F10" s="27">
        <f>483294+133899</f>
        <v>617193</v>
      </c>
      <c r="G10" s="23"/>
      <c r="H10" s="27">
        <f>506418+134833</f>
        <v>641251</v>
      </c>
      <c r="I10" s="23"/>
      <c r="J10" s="27">
        <f>541020+135767</f>
        <v>676787</v>
      </c>
      <c r="K10" s="23"/>
      <c r="L10" s="27">
        <v>685008</v>
      </c>
    </row>
    <row r="11" spans="1:12">
      <c r="A11" s="54" t="s">
        <v>26</v>
      </c>
      <c r="B11" s="27">
        <v>123791</v>
      </c>
      <c r="C11" s="112"/>
      <c r="D11" s="27">
        <v>126197</v>
      </c>
      <c r="E11" s="23"/>
      <c r="F11" s="27">
        <v>175351</v>
      </c>
      <c r="G11" s="23"/>
      <c r="H11" s="27">
        <v>170971</v>
      </c>
      <c r="I11" s="23"/>
      <c r="J11" s="27">
        <f>319236+127616</f>
        <v>446852</v>
      </c>
      <c r="K11" s="23"/>
      <c r="L11" s="27">
        <f>319236+229189</f>
        <v>548425</v>
      </c>
    </row>
    <row r="12" spans="1:12">
      <c r="A12" s="54" t="s">
        <v>27</v>
      </c>
      <c r="B12" s="33">
        <f>644018+8199+90062+13595</f>
        <v>755874</v>
      </c>
      <c r="C12" s="114"/>
      <c r="D12" s="33">
        <f>572873+10528</f>
        <v>583401</v>
      </c>
      <c r="E12" s="23"/>
      <c r="F12" s="33">
        <f>318731+10434</f>
        <v>329165</v>
      </c>
      <c r="G12" s="23"/>
      <c r="H12" s="33">
        <f>214171+10971</f>
        <v>225142</v>
      </c>
      <c r="I12" s="23"/>
      <c r="J12" s="33">
        <f>159721+12478</f>
        <v>172199</v>
      </c>
      <c r="K12" s="23"/>
      <c r="L12" s="33">
        <f>141138+12047</f>
        <v>153185</v>
      </c>
    </row>
    <row r="13" spans="1:12" s="13" customFormat="1" ht="16.5">
      <c r="A13" s="55" t="s">
        <v>28</v>
      </c>
      <c r="B13" s="34">
        <f>SUM(B8:B12)</f>
        <v>3986780</v>
      </c>
      <c r="C13" s="115"/>
      <c r="D13" s="34">
        <f>SUM(D8:D12)</f>
        <v>4467496</v>
      </c>
      <c r="E13" s="24"/>
      <c r="F13" s="34">
        <f>SUM(F8:F12)</f>
        <v>5230693</v>
      </c>
      <c r="G13" s="24"/>
      <c r="H13" s="34">
        <f>SUM(H8:H12)</f>
        <v>5777275</v>
      </c>
      <c r="I13" s="24"/>
      <c r="J13" s="34">
        <f>SUM(J8:J12)</f>
        <v>6582061</v>
      </c>
      <c r="K13" s="24"/>
      <c r="L13" s="34">
        <f>SUM(L8:L12)</f>
        <v>6840565</v>
      </c>
    </row>
    <row r="14" spans="1:12">
      <c r="A14" s="54"/>
      <c r="B14" s="35"/>
      <c r="C14" s="116"/>
      <c r="D14" s="35"/>
      <c r="E14" s="23"/>
      <c r="F14" s="35"/>
      <c r="G14" s="23"/>
      <c r="H14" s="35"/>
      <c r="I14" s="23"/>
      <c r="J14" s="35"/>
      <c r="K14" s="23"/>
      <c r="L14" s="35"/>
    </row>
    <row r="15" spans="1:12">
      <c r="A15" s="54" t="s">
        <v>29</v>
      </c>
      <c r="B15" s="27">
        <v>196726</v>
      </c>
      <c r="C15" s="112"/>
      <c r="D15" s="27">
        <v>405480</v>
      </c>
      <c r="E15" s="23"/>
      <c r="F15" s="27">
        <v>407748</v>
      </c>
      <c r="G15" s="23"/>
      <c r="H15" s="27">
        <v>448124</v>
      </c>
      <c r="I15" s="23"/>
      <c r="J15" s="27">
        <v>633629</v>
      </c>
      <c r="K15" s="23"/>
      <c r="L15" s="27">
        <v>511217</v>
      </c>
    </row>
    <row r="16" spans="1:12">
      <c r="A16" s="54" t="s">
        <v>30</v>
      </c>
      <c r="B16" s="27">
        <f>640803-196726</f>
        <v>444077</v>
      </c>
      <c r="C16" s="112"/>
      <c r="D16" s="27">
        <f>389309+8062+7275+6854+2864</f>
        <v>414364</v>
      </c>
      <c r="E16" s="23"/>
      <c r="F16" s="27">
        <f>398527+1573+7963+11225</f>
        <v>419288</v>
      </c>
      <c r="G16" s="23"/>
      <c r="H16" s="27">
        <f>386647+1231+11632+19990</f>
        <v>419500</v>
      </c>
      <c r="I16" s="23"/>
      <c r="J16" s="27">
        <f>358811+5053+7162+29340</f>
        <v>400366</v>
      </c>
      <c r="K16" s="23"/>
      <c r="L16" s="27">
        <f>419264+30038+7313+59797</f>
        <v>516412</v>
      </c>
    </row>
    <row r="17" spans="1:12">
      <c r="A17" s="94" t="s">
        <v>131</v>
      </c>
      <c r="B17" s="33">
        <v>11242</v>
      </c>
      <c r="C17" s="117"/>
      <c r="D17" s="33">
        <v>6746</v>
      </c>
      <c r="E17" s="23"/>
      <c r="F17" s="33">
        <v>8218</v>
      </c>
      <c r="G17" s="23"/>
      <c r="H17" s="33">
        <v>17626</v>
      </c>
      <c r="I17" s="23"/>
      <c r="J17" s="33">
        <v>30148</v>
      </c>
      <c r="K17" s="23"/>
      <c r="L17" s="33">
        <v>38915</v>
      </c>
    </row>
    <row r="18" spans="1:12" s="13" customFormat="1" ht="16.5">
      <c r="A18" s="55" t="s">
        <v>31</v>
      </c>
      <c r="B18" s="34">
        <f>SUM(B15:B17)</f>
        <v>652045</v>
      </c>
      <c r="C18" s="115"/>
      <c r="D18" s="34">
        <f>SUM(D15:D17)</f>
        <v>826590</v>
      </c>
      <c r="E18" s="24"/>
      <c r="F18" s="34">
        <f>SUM(F15:F17)</f>
        <v>835254</v>
      </c>
      <c r="G18" s="24"/>
      <c r="H18" s="34">
        <f>SUM(H15:H17)</f>
        <v>885250</v>
      </c>
      <c r="I18" s="24"/>
      <c r="J18" s="34">
        <f>SUM(J15:J17)</f>
        <v>1064143</v>
      </c>
      <c r="K18" s="24"/>
      <c r="L18" s="34">
        <f>SUM(L15:L17)</f>
        <v>1066544</v>
      </c>
    </row>
    <row r="19" spans="1:12">
      <c r="A19" s="54"/>
      <c r="B19" s="116"/>
      <c r="C19" s="116"/>
      <c r="D19" s="35"/>
      <c r="E19" s="23"/>
      <c r="F19" s="35"/>
      <c r="G19" s="23"/>
      <c r="H19" s="35"/>
      <c r="I19" s="23"/>
      <c r="J19" s="35"/>
      <c r="K19" s="23"/>
      <c r="L19" s="35"/>
    </row>
    <row r="20" spans="1:12" s="13" customFormat="1" ht="16.5">
      <c r="A20" s="55" t="s">
        <v>32</v>
      </c>
      <c r="B20" s="36">
        <v>3334735</v>
      </c>
      <c r="C20" s="111"/>
      <c r="D20" s="36">
        <v>3640906</v>
      </c>
      <c r="E20" s="24"/>
      <c r="F20" s="36">
        <v>4395439</v>
      </c>
      <c r="G20" s="24"/>
      <c r="H20" s="36">
        <v>4892025</v>
      </c>
      <c r="I20" s="24"/>
      <c r="J20" s="36">
        <v>5517918</v>
      </c>
      <c r="K20" s="24"/>
      <c r="L20" s="36">
        <v>5774021</v>
      </c>
    </row>
    <row r="21" spans="1:12">
      <c r="A21" s="54"/>
      <c r="B21" s="116"/>
      <c r="C21" s="116"/>
      <c r="D21" s="35"/>
      <c r="E21" s="23"/>
      <c r="F21" s="35"/>
      <c r="G21" s="23"/>
      <c r="H21" s="35"/>
      <c r="I21" s="23"/>
      <c r="J21" s="35"/>
      <c r="K21" s="23"/>
      <c r="L21" s="35"/>
    </row>
    <row r="22" spans="1:12" ht="16.5">
      <c r="A22" s="55" t="s">
        <v>33</v>
      </c>
      <c r="B22" s="113"/>
      <c r="C22" s="113"/>
      <c r="D22" s="37"/>
      <c r="F22" s="37"/>
      <c r="H22" s="37"/>
      <c r="J22" s="37"/>
      <c r="L22" s="37"/>
    </row>
    <row r="23" spans="1:12">
      <c r="A23" s="54" t="s">
        <v>95</v>
      </c>
      <c r="B23" s="38">
        <f>B32</f>
        <v>38.062890107811612</v>
      </c>
      <c r="C23" s="54"/>
      <c r="D23" s="38">
        <f>D32</f>
        <v>38.090782840162866</v>
      </c>
      <c r="F23" s="38">
        <f>F32</f>
        <v>29.775609950481041</v>
      </c>
      <c r="H23" s="38">
        <f>H32</f>
        <v>26.875188194112816</v>
      </c>
      <c r="J23" s="38">
        <f>J32</f>
        <v>21.416654481931207</v>
      </c>
      <c r="L23" s="38">
        <v>29.750076655846982</v>
      </c>
    </row>
    <row r="24" spans="1:12">
      <c r="A24" s="54" t="s">
        <v>94</v>
      </c>
      <c r="B24" s="38">
        <f>B39</f>
        <v>73.69685611418285</v>
      </c>
      <c r="C24" s="54"/>
      <c r="D24" s="38">
        <f>D39</f>
        <v>81.054146074166212</v>
      </c>
      <c r="F24" s="38">
        <f>F39</f>
        <v>91.546700147603971</v>
      </c>
      <c r="H24" s="38">
        <f>H39</f>
        <v>84.752597355276606</v>
      </c>
      <c r="J24" s="38">
        <f>J39</f>
        <v>82.387319553312182</v>
      </c>
      <c r="L24" s="38">
        <v>63.435615567683662</v>
      </c>
    </row>
    <row r="25" spans="1:12">
      <c r="A25" s="54" t="s">
        <v>34</v>
      </c>
      <c r="B25" s="39">
        <f>(B2+B3+B4+B5)/(B13+B14)</f>
        <v>0.53789975870251183</v>
      </c>
      <c r="C25" s="54"/>
      <c r="D25" s="39">
        <f>(D4+D5+D6+D7)/(D15+D16)</f>
        <v>3.7502671239894418</v>
      </c>
      <c r="F25" s="39">
        <f>(F4+F5+F6+F7)/(F15+F16)</f>
        <v>4.8773874414173024</v>
      </c>
      <c r="H25" s="39">
        <f>(H4+H5+H6+H7)/(H15+H16)</f>
        <v>5.3934665246696722</v>
      </c>
      <c r="J25" s="39">
        <v>5.0016682865971305</v>
      </c>
      <c r="L25" s="39">
        <v>5.2142611779153762</v>
      </c>
    </row>
    <row r="27" spans="1:12" hidden="1">
      <c r="A27" s="20" t="s">
        <v>2</v>
      </c>
      <c r="B27" s="40">
        <v>528700</v>
      </c>
      <c r="D27" s="40">
        <f>年度簡明合併損益表!D5</f>
        <v>2412587</v>
      </c>
      <c r="F27" s="40">
        <f>年度簡明合併損益表!F5</f>
        <v>3187062</v>
      </c>
      <c r="H27" s="40">
        <f>年度簡明合併損益表!H5</f>
        <v>3400744</v>
      </c>
      <c r="J27" s="40">
        <f>年度簡明合併損益表!J5</f>
        <v>3631593</v>
      </c>
      <c r="L27" s="40">
        <v>4647395</v>
      </c>
    </row>
    <row r="28" spans="1:12" hidden="1">
      <c r="A28" s="21" t="s">
        <v>4</v>
      </c>
      <c r="B28" s="40">
        <v>238258</v>
      </c>
      <c r="C28" s="118"/>
      <c r="D28" s="40">
        <v>249552</v>
      </c>
      <c r="F28" s="40">
        <v>281223</v>
      </c>
      <c r="H28" s="40">
        <v>241627</v>
      </c>
      <c r="J28" s="40">
        <v>265059</v>
      </c>
      <c r="L28" s="40">
        <v>167238</v>
      </c>
    </row>
    <row r="29" spans="1:12" hidden="1">
      <c r="A29" s="21" t="s">
        <v>88</v>
      </c>
      <c r="B29" s="40">
        <v>215151</v>
      </c>
      <c r="C29" s="118"/>
      <c r="D29" s="40">
        <v>222324</v>
      </c>
      <c r="F29" s="40">
        <v>281223</v>
      </c>
      <c r="H29" s="40">
        <v>238759</v>
      </c>
      <c r="J29" s="40">
        <v>262039</v>
      </c>
      <c r="L29" s="40">
        <v>164134</v>
      </c>
    </row>
    <row r="30" spans="1:12" hidden="1">
      <c r="A30" s="20" t="s">
        <v>5</v>
      </c>
      <c r="B30" s="40">
        <f>31+30+31</f>
        <v>92</v>
      </c>
      <c r="D30" s="40">
        <v>365</v>
      </c>
      <c r="F30" s="40">
        <v>365</v>
      </c>
      <c r="H30" s="40">
        <v>365</v>
      </c>
      <c r="J30" s="40">
        <v>365</v>
      </c>
      <c r="L30" s="40">
        <v>365</v>
      </c>
    </row>
    <row r="31" spans="1:12" hidden="1">
      <c r="A31" s="20" t="s">
        <v>89</v>
      </c>
      <c r="B31" s="40">
        <f>B30/(B27/((B28+D28)/2))</f>
        <v>42.442330243994704</v>
      </c>
      <c r="D31" s="40">
        <f>D30/(D27/((D28+F28)/2))</f>
        <v>40.150443279351173</v>
      </c>
      <c r="F31" s="40">
        <f>F30/(F27/((F28+H28)/2))</f>
        <v>29.939839576387278</v>
      </c>
      <c r="H31" s="40">
        <f>H30/(H27/((H28+J28)/2))</f>
        <v>27.191166109533675</v>
      </c>
      <c r="J31" s="40">
        <f>J30/(J27/((J28+L28)/2))</f>
        <v>21.724406479470577</v>
      </c>
      <c r="L31" s="40">
        <f>L30/(L27/((L28+N28)/2))</f>
        <v>6.5673210475976322</v>
      </c>
    </row>
    <row r="32" spans="1:12" hidden="1">
      <c r="A32" s="20" t="s">
        <v>90</v>
      </c>
      <c r="B32" s="40">
        <f>B30/(B27/((B29+D29)/2))</f>
        <v>38.062890107811612</v>
      </c>
      <c r="D32" s="40">
        <f>D30/(D27/((D29+F29)/2))</f>
        <v>38.090782840162866</v>
      </c>
      <c r="F32" s="40">
        <f>F30/(F27/((F29+H29)/2))</f>
        <v>29.775609950481041</v>
      </c>
      <c r="H32" s="40">
        <f>H30/(H27/((H29+J29)/2))</f>
        <v>26.875188194112816</v>
      </c>
      <c r="J32" s="40">
        <f>J30/(J27/((J29+L29)/2))</f>
        <v>21.416654481931207</v>
      </c>
      <c r="L32" s="40">
        <f>L30/(L27/((L29+N29)/2))</f>
        <v>6.4454291059830293</v>
      </c>
    </row>
    <row r="33" spans="1:12" hidden="1">
      <c r="D33" s="40"/>
      <c r="F33" s="40"/>
      <c r="H33" s="40"/>
      <c r="J33" s="40"/>
      <c r="L33" s="40"/>
    </row>
    <row r="34" spans="1:12" hidden="1">
      <c r="A34" s="20" t="s">
        <v>0</v>
      </c>
      <c r="B34" s="40">
        <v>311080</v>
      </c>
      <c r="D34" s="40">
        <f>-年度簡明合併損益表!D6</f>
        <v>1987374</v>
      </c>
      <c r="F34" s="40">
        <f>-年度簡明合併損益表!F6</f>
        <v>2274329</v>
      </c>
      <c r="H34" s="40">
        <f>-年度簡明合併損益表!H6</f>
        <v>2154403</v>
      </c>
      <c r="J34" s="40">
        <f>-年度簡明合併損益表!J6</f>
        <v>2126944</v>
      </c>
      <c r="L34" s="40">
        <v>2584996</v>
      </c>
    </row>
    <row r="35" spans="1:12" hidden="1">
      <c r="A35" s="21" t="s">
        <v>1</v>
      </c>
      <c r="B35" s="40">
        <v>567914</v>
      </c>
      <c r="C35" s="118"/>
      <c r="D35" s="40">
        <v>741746</v>
      </c>
      <c r="F35" s="40">
        <v>752261</v>
      </c>
      <c r="H35" s="40">
        <v>657097</v>
      </c>
      <c r="J35" s="40">
        <v>532962</v>
      </c>
      <c r="L35" s="40">
        <v>643190</v>
      </c>
    </row>
    <row r="36" spans="1:12" hidden="1">
      <c r="A36" s="21" t="s">
        <v>93</v>
      </c>
      <c r="B36" s="40">
        <v>204225</v>
      </c>
      <c r="C36" s="118"/>
      <c r="D36" s="40">
        <f>D6</f>
        <v>294158</v>
      </c>
      <c r="F36" s="40">
        <v>588499</v>
      </c>
      <c r="H36" s="40">
        <v>552363</v>
      </c>
      <c r="J36" s="40">
        <v>448137</v>
      </c>
      <c r="L36" s="40">
        <v>512045</v>
      </c>
    </row>
    <row r="37" spans="1:12" hidden="1">
      <c r="A37" s="20" t="s">
        <v>5</v>
      </c>
      <c r="B37" s="40">
        <f>B30</f>
        <v>92</v>
      </c>
      <c r="D37" s="40">
        <v>365</v>
      </c>
      <c r="F37" s="40">
        <v>365</v>
      </c>
      <c r="H37" s="40">
        <v>365</v>
      </c>
      <c r="J37" s="40">
        <v>365</v>
      </c>
      <c r="L37" s="40">
        <f>L30</f>
        <v>365</v>
      </c>
    </row>
    <row r="38" spans="1:12" hidden="1">
      <c r="A38" s="20" t="s">
        <v>91</v>
      </c>
      <c r="B38" s="40">
        <f>B37/(B34/((B35+D35)/2))</f>
        <v>193.66195190947667</v>
      </c>
      <c r="D38" s="40">
        <f>D37/(D34/((D35+F35)/2))</f>
        <v>137.19424602515681</v>
      </c>
      <c r="F38" s="40">
        <f>F37/(F34/((F35+H35)/2))</f>
        <v>113.09174486189114</v>
      </c>
      <c r="H38" s="40">
        <f>H37/(H34/((H35+J35)/2))</f>
        <v>100.81018616294166</v>
      </c>
      <c r="J38" s="40">
        <f>J37/(J34/((J35+L35)/2))</f>
        <v>100.91837866911399</v>
      </c>
      <c r="L38" s="40">
        <f>L37/(L34/((L35+N35)/2))</f>
        <v>45.409035449184451</v>
      </c>
    </row>
    <row r="39" spans="1:12" hidden="1">
      <c r="A39" s="20" t="s">
        <v>92</v>
      </c>
      <c r="B39" s="40">
        <f>B37/(B34/AVERAGE(B36,D36))</f>
        <v>73.69685611418285</v>
      </c>
      <c r="D39" s="40">
        <f>D37/(D34/AVERAGE(D36,F36))</f>
        <v>81.054146074166212</v>
      </c>
      <c r="F39" s="40">
        <f>F37/(F34/AVERAGE(F36,H36))</f>
        <v>91.546700147603971</v>
      </c>
      <c r="H39" s="40">
        <f>H37/(H34/AVERAGE(H36,J36))</f>
        <v>84.752597355276606</v>
      </c>
      <c r="J39" s="40">
        <f>J37/(J34/AVERAGE(J36,L36))</f>
        <v>82.387319553312182</v>
      </c>
      <c r="L39" s="40">
        <f>L37/(L34/AVERAGE(L36,N36))</f>
        <v>72.300469710591429</v>
      </c>
    </row>
    <row r="40" spans="1:12" hidden="1">
      <c r="B40" s="40"/>
      <c r="D40" s="40"/>
      <c r="F40" s="40"/>
      <c r="H40" s="40"/>
      <c r="J40" s="40"/>
      <c r="L40" s="40"/>
    </row>
    <row r="41" spans="1:12" hidden="1">
      <c r="A41" s="20" t="s">
        <v>6</v>
      </c>
      <c r="B41" s="41">
        <f>B6/(B13+B14)</f>
        <v>5.1225550444218143E-2</v>
      </c>
      <c r="D41" s="41">
        <f>D8/(D15+D16)</f>
        <v>3.7502671239894418</v>
      </c>
      <c r="F41" s="41">
        <f>F8/(F15+F16)</f>
        <v>4.8773874414173024</v>
      </c>
      <c r="H41" s="41">
        <f>H8/(H15+H16)</f>
        <v>5.3934665246696722</v>
      </c>
      <c r="J41" s="41">
        <f>J8/(J15+J16)</f>
        <v>5.0016682865971305</v>
      </c>
      <c r="L41" s="41">
        <f>L8/(L15+L16)</f>
        <v>5.2142611779153762</v>
      </c>
    </row>
    <row r="42" spans="1:12" hidden="1"/>
    <row r="43" spans="1:12" hidden="1">
      <c r="B43" s="40"/>
      <c r="D43" s="40"/>
      <c r="F43" s="40"/>
      <c r="H43" s="40"/>
      <c r="J43" s="40"/>
      <c r="L43" s="40"/>
    </row>
    <row r="44" spans="1:12" hidden="1">
      <c r="A44" s="20" t="s">
        <v>0</v>
      </c>
      <c r="B44" s="40">
        <f>B34</f>
        <v>311080</v>
      </c>
      <c r="D44" s="40">
        <f>D34</f>
        <v>1987374</v>
      </c>
      <c r="F44" s="40">
        <f>F34</f>
        <v>2274329</v>
      </c>
      <c r="H44" s="40">
        <f>H34</f>
        <v>2154403</v>
      </c>
      <c r="J44" s="40">
        <f>J34</f>
        <v>2126944</v>
      </c>
      <c r="L44" s="40">
        <f>L34</f>
        <v>2584996</v>
      </c>
    </row>
    <row r="45" spans="1:12" hidden="1">
      <c r="A45" s="21" t="s">
        <v>3</v>
      </c>
      <c r="B45" s="40">
        <f>B13</f>
        <v>3986780</v>
      </c>
      <c r="C45" s="118"/>
      <c r="D45" s="40">
        <f>D15</f>
        <v>405480</v>
      </c>
      <c r="F45" s="40">
        <f>F15</f>
        <v>407748</v>
      </c>
      <c r="H45" s="40">
        <f>H15</f>
        <v>448124</v>
      </c>
      <c r="J45" s="40">
        <f>J15</f>
        <v>633629</v>
      </c>
      <c r="L45" s="40">
        <f>L15</f>
        <v>511217</v>
      </c>
    </row>
    <row r="46" spans="1:12" hidden="1">
      <c r="A46" s="20" t="s">
        <v>5</v>
      </c>
      <c r="B46" s="40">
        <f>B30</f>
        <v>92</v>
      </c>
      <c r="D46" s="40">
        <f>D30</f>
        <v>365</v>
      </c>
      <c r="F46" s="40">
        <f>F30</f>
        <v>365</v>
      </c>
      <c r="H46" s="40">
        <f>H30</f>
        <v>365</v>
      </c>
      <c r="J46" s="40">
        <f>J30</f>
        <v>365</v>
      </c>
      <c r="L46" s="40">
        <f>L30</f>
        <v>365</v>
      </c>
    </row>
    <row r="47" spans="1:12" hidden="1">
      <c r="A47" s="20" t="s">
        <v>7</v>
      </c>
      <c r="B47" s="40">
        <f>B46/(B44/((B45+D45)/2))</f>
        <v>649.49196348206249</v>
      </c>
      <c r="D47" s="40">
        <f>D46/(D44/((D45+F45)/2))</f>
        <v>74.678500372853819</v>
      </c>
      <c r="F47" s="40">
        <f>F46/(F44/((F45+H45)/2))</f>
        <v>68.678120008143054</v>
      </c>
      <c r="H47" s="40">
        <f>H46/(H44/((H45+J45)/2))</f>
        <v>91.635558667528784</v>
      </c>
      <c r="J47" s="40">
        <f>J46/(J44/((J45+L45)/2))</f>
        <v>98.23220310454812</v>
      </c>
      <c r="L47" s="40">
        <f>L46/(L44/((L45+N45)/2))</f>
        <v>36.091778285150149</v>
      </c>
    </row>
    <row r="48" spans="1:12" hidden="1">
      <c r="D48" s="40"/>
      <c r="F48" s="40"/>
      <c r="H48" s="40"/>
      <c r="J48" s="40"/>
      <c r="L48" s="40"/>
    </row>
  </sheetData>
  <phoneticPr fontId="1" type="noConversion"/>
  <pageMargins left="0.7" right="0.7" top="0.75" bottom="0.75" header="0.3" footer="0.3"/>
  <pageSetup paperSize="9"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0"/>
  <sheetViews>
    <sheetView tabSelected="1" zoomScaleNormal="100" workbookViewId="0">
      <selection activeCell="D55" sqref="D55"/>
    </sheetView>
  </sheetViews>
  <sheetFormatPr defaultColWidth="9" defaultRowHeight="15.75" outlineLevelCol="1"/>
  <cols>
    <col min="1" max="1" width="32.125" style="20" customWidth="1"/>
    <col min="2" max="2" width="18.625" style="19" bestFit="1" customWidth="1"/>
    <col min="3" max="3" width="2.875" style="18" customWidth="1"/>
    <col min="4" max="4" width="18.625" style="19" bestFit="1" customWidth="1"/>
    <col min="5" max="5" width="2.875" style="18" customWidth="1"/>
    <col min="6" max="6" width="17.5" style="19" hidden="1" customWidth="1" outlineLevel="1"/>
    <col min="7" max="7" width="2.875" style="18" hidden="1" customWidth="1" outlineLevel="1"/>
    <col min="8" max="8" width="17.5" style="19" hidden="1" customWidth="1" outlineLevel="1"/>
    <col min="9" max="9" width="2.875" style="18" hidden="1" customWidth="1" outlineLevel="1"/>
    <col min="10" max="10" width="17.5" style="19" customWidth="1" collapsed="1"/>
    <col min="11" max="11" width="2.875" style="18" customWidth="1"/>
    <col min="12" max="12" width="18.875" style="19" hidden="1" customWidth="1" outlineLevel="1"/>
    <col min="13" max="13" width="2.875" style="18" hidden="1" customWidth="1" outlineLevel="1"/>
    <col min="14" max="14" width="17.5" style="19" hidden="1" customWidth="1" outlineLevel="1"/>
    <col min="15" max="15" width="2.875" style="18" hidden="1" customWidth="1" outlineLevel="1"/>
    <col min="16" max="16" width="17.5" style="19" hidden="1" customWidth="1" outlineLevel="1"/>
    <col min="17" max="17" width="2.875" style="18" hidden="1" customWidth="1" outlineLevel="1"/>
    <col min="18" max="18" width="17.5" style="19" hidden="1" customWidth="1" outlineLevel="1"/>
    <col min="19" max="19" width="2.125" style="18" hidden="1" customWidth="1" outlineLevel="1"/>
    <col min="20" max="20" width="18.875" style="19" hidden="1" customWidth="1" outlineLevel="1"/>
    <col min="21" max="21" width="2.125" style="18" hidden="1" customWidth="1" outlineLevel="1"/>
    <col min="22" max="22" width="17.5" style="19" hidden="1" customWidth="1" outlineLevel="1"/>
    <col min="23" max="23" width="2.125" style="18" hidden="1" customWidth="1" outlineLevel="1"/>
    <col min="24" max="24" width="17.5" style="19" hidden="1" customWidth="1" outlineLevel="1"/>
    <col min="25" max="25" width="2.125" style="18" hidden="1" customWidth="1" outlineLevel="1"/>
    <col min="26" max="26" width="17.5" style="19" hidden="1" customWidth="1" outlineLevel="1"/>
    <col min="27" max="27" width="2.125" style="18" hidden="1" customWidth="1" outlineLevel="1"/>
    <col min="28" max="28" width="18.875" style="19" hidden="1" customWidth="1" outlineLevel="1"/>
    <col min="29" max="29" width="2.125" style="18" hidden="1" customWidth="1" outlineLevel="1"/>
    <col min="30" max="30" width="17.5" style="19" hidden="1" customWidth="1" outlineLevel="1"/>
    <col min="31" max="31" width="2.125" style="18" hidden="1" customWidth="1" outlineLevel="1"/>
    <col min="32" max="32" width="17.5" style="19" hidden="1" customWidth="1" outlineLevel="1"/>
    <col min="33" max="33" width="2.125" style="18" hidden="1" customWidth="1" outlineLevel="1"/>
    <col min="34" max="34" width="17.5" style="19" hidden="1" customWidth="1" outlineLevel="1"/>
    <col min="35" max="35" width="2.125" style="18" hidden="1" customWidth="1" outlineLevel="1"/>
    <col min="36" max="36" width="18.875" style="19" hidden="1" customWidth="1" outlineLevel="1"/>
    <col min="37" max="37" width="2.125" style="18" hidden="1" customWidth="1" outlineLevel="1"/>
    <col min="38" max="38" width="17.5" style="19" hidden="1" customWidth="1" outlineLevel="1"/>
    <col min="39" max="39" width="2.125" style="18" hidden="1" customWidth="1" outlineLevel="1"/>
    <col min="40" max="40" width="17.5" style="19" hidden="1" customWidth="1" outlineLevel="1"/>
    <col min="41" max="41" width="2.125" style="18" hidden="1" customWidth="1" outlineLevel="1"/>
    <col min="42" max="42" width="17.5" style="19" hidden="1" customWidth="1" outlineLevel="1"/>
    <col min="43" max="43" width="2.125" style="18" hidden="1" customWidth="1" outlineLevel="1"/>
    <col min="44" max="44" width="18.875" style="19" hidden="1" customWidth="1" outlineLevel="1"/>
    <col min="45" max="45" width="2.125" style="18" hidden="1" customWidth="1" outlineLevel="1"/>
    <col min="46" max="46" width="17.5" style="19" hidden="1" customWidth="1" outlineLevel="1"/>
    <col min="47" max="47" width="2.125" style="18" hidden="1" customWidth="1" outlineLevel="1"/>
    <col min="48" max="48" width="17.5" style="19" hidden="1" customWidth="1" outlineLevel="1"/>
    <col min="49" max="49" width="2.125" style="18" hidden="1" customWidth="1" outlineLevel="1"/>
    <col min="50" max="50" width="17.5" style="19" hidden="1" customWidth="1" outlineLevel="1"/>
    <col min="51" max="51" width="2.125" style="18" hidden="1" customWidth="1" outlineLevel="1"/>
    <col min="52" max="52" width="18.875" style="19" hidden="1" customWidth="1" outlineLevel="1"/>
    <col min="53" max="53" width="5.375" style="18" hidden="1" customWidth="1" outlineLevel="1"/>
    <col min="54" max="54" width="17.5" style="19" hidden="1" customWidth="1" outlineLevel="1"/>
    <col min="55" max="55" width="3.125" style="18" hidden="1" customWidth="1" outlineLevel="1"/>
    <col min="56" max="56" width="17.5" style="19" hidden="1" customWidth="1" outlineLevel="1"/>
    <col min="57" max="57" width="3.125" style="18" hidden="1" customWidth="1" outlineLevel="1"/>
    <col min="58" max="58" width="17.5" style="19" hidden="1" customWidth="1" outlineLevel="1"/>
    <col min="59" max="59" width="5.875" style="18" hidden="1" customWidth="1" outlineLevel="1"/>
    <col min="60" max="60" width="18.875" style="19" hidden="1" customWidth="1" outlineLevel="1"/>
    <col min="61" max="61" width="5.375" style="18" hidden="1" customWidth="1" outlineLevel="1"/>
    <col min="62" max="62" width="17.5" style="20" hidden="1" customWidth="1" outlineLevel="1"/>
    <col min="63" max="63" width="3.5" style="18" hidden="1" customWidth="1" outlineLevel="1"/>
    <col min="64" max="64" width="17.5" style="20" hidden="1" customWidth="1" outlineLevel="1"/>
    <col min="65" max="65" width="3.125" style="18" hidden="1" customWidth="1" outlineLevel="1"/>
    <col min="66" max="66" width="17.5" style="20" hidden="1" customWidth="1" outlineLevel="1"/>
    <col min="67" max="67" width="2.125" style="18" customWidth="1" collapsed="1"/>
    <col min="68" max="68" width="17.5" style="12" customWidth="1"/>
    <col min="69" max="69" width="2.125" style="12" customWidth="1"/>
    <col min="70" max="89" width="9" style="12" customWidth="1"/>
    <col min="90" max="16384" width="9" style="12"/>
  </cols>
  <sheetData>
    <row r="1" spans="1:67" ht="76.5" customHeight="1"/>
    <row r="2" spans="1:67">
      <c r="A2" s="56" t="s">
        <v>35</v>
      </c>
    </row>
    <row r="3" spans="1:67" ht="17.25" thickBot="1">
      <c r="A3" s="55" t="s">
        <v>36</v>
      </c>
      <c r="B3" s="57">
        <v>43921</v>
      </c>
      <c r="C3" s="22"/>
      <c r="D3" s="57">
        <v>43830</v>
      </c>
      <c r="E3" s="22"/>
      <c r="F3" s="57">
        <v>43738</v>
      </c>
      <c r="G3" s="22"/>
      <c r="H3" s="57">
        <v>43646</v>
      </c>
      <c r="I3" s="22"/>
      <c r="J3" s="57">
        <v>43555</v>
      </c>
      <c r="K3" s="22"/>
      <c r="L3" s="57">
        <v>43465</v>
      </c>
      <c r="M3" s="22"/>
      <c r="N3" s="57">
        <v>43373</v>
      </c>
      <c r="O3" s="22"/>
      <c r="P3" s="57">
        <v>43281</v>
      </c>
      <c r="Q3" s="22"/>
      <c r="R3" s="57">
        <v>43190</v>
      </c>
      <c r="S3" s="22"/>
      <c r="T3" s="57">
        <v>43100</v>
      </c>
      <c r="U3" s="22"/>
      <c r="V3" s="57">
        <v>43008</v>
      </c>
      <c r="W3" s="22"/>
      <c r="X3" s="57">
        <v>42916</v>
      </c>
      <c r="Y3" s="22"/>
      <c r="Z3" s="57">
        <v>42825</v>
      </c>
      <c r="AA3" s="22"/>
      <c r="AB3" s="57">
        <v>42735</v>
      </c>
      <c r="AC3" s="22"/>
      <c r="AD3" s="57">
        <v>42643</v>
      </c>
      <c r="AE3" s="22"/>
      <c r="AF3" s="57">
        <v>42551</v>
      </c>
      <c r="AG3" s="22"/>
      <c r="AH3" s="57">
        <v>42460</v>
      </c>
      <c r="AI3" s="22"/>
      <c r="AJ3" s="57">
        <v>42369</v>
      </c>
      <c r="AK3" s="22"/>
      <c r="AL3" s="57">
        <v>42277</v>
      </c>
      <c r="AM3" s="22"/>
      <c r="AN3" s="57">
        <v>42185</v>
      </c>
      <c r="AO3" s="22"/>
      <c r="AP3" s="57">
        <v>42094</v>
      </c>
      <c r="AQ3" s="22"/>
      <c r="AR3" s="57">
        <v>42004</v>
      </c>
      <c r="AS3" s="22"/>
      <c r="AT3" s="57">
        <v>41912</v>
      </c>
      <c r="AU3" s="22"/>
      <c r="AV3" s="57">
        <v>41820</v>
      </c>
      <c r="AW3" s="22"/>
      <c r="AX3" s="57">
        <v>41729</v>
      </c>
      <c r="AY3" s="22"/>
      <c r="AZ3" s="57">
        <v>41639</v>
      </c>
      <c r="BA3" s="22"/>
      <c r="BB3" s="57">
        <v>41547</v>
      </c>
      <c r="BC3" s="26"/>
      <c r="BD3" s="57">
        <v>41455</v>
      </c>
      <c r="BE3" s="26"/>
      <c r="BF3" s="57">
        <v>41364</v>
      </c>
      <c r="BG3" s="26"/>
      <c r="BH3" s="57">
        <v>41274</v>
      </c>
      <c r="BI3" s="26"/>
      <c r="BJ3" s="57">
        <v>41182</v>
      </c>
      <c r="BK3" s="26"/>
      <c r="BL3" s="57">
        <v>41090</v>
      </c>
      <c r="BM3" s="26"/>
      <c r="BN3" s="57">
        <v>40999</v>
      </c>
      <c r="BO3" s="26"/>
    </row>
    <row r="4" spans="1:67" ht="15.6" customHeight="1">
      <c r="A4" s="54" t="s">
        <v>115</v>
      </c>
      <c r="B4" s="27">
        <f>1201632+32106+584150</f>
        <v>1817888</v>
      </c>
      <c r="C4" s="23"/>
      <c r="D4" s="27">
        <f>1335729+33203+516575</f>
        <v>1885507</v>
      </c>
      <c r="E4" s="23"/>
      <c r="F4" s="27">
        <f>1118109+117820+617375</f>
        <v>1853304</v>
      </c>
      <c r="G4" s="23"/>
      <c r="H4" s="27">
        <f>663181+179329+1152774</f>
        <v>1995284</v>
      </c>
      <c r="I4" s="23"/>
      <c r="J4" s="27">
        <f>663099+256130+1164827</f>
        <v>2084056</v>
      </c>
      <c r="K4" s="23"/>
      <c r="L4" s="27">
        <f>716824+414402+1225679</f>
        <v>2356905</v>
      </c>
      <c r="M4" s="23"/>
      <c r="N4" s="27">
        <f>778373+412738+1205473</f>
        <v>2396584</v>
      </c>
      <c r="O4" s="23"/>
      <c r="P4" s="27">
        <f>590056+352941+1218736</f>
        <v>2161733</v>
      </c>
      <c r="Q4" s="23"/>
      <c r="R4" s="27">
        <f>916402+526004+1247448</f>
        <v>2689854</v>
      </c>
      <c r="S4" s="23"/>
      <c r="T4" s="27">
        <f>707736+424420+32238+1738948</f>
        <v>2903342</v>
      </c>
      <c r="U4" s="23"/>
      <c r="V4" s="27">
        <f>501357+177645+32307+2268169</f>
        <v>2979478</v>
      </c>
      <c r="W4" s="23"/>
      <c r="X4" s="27">
        <f>707819+151106+32040+15215+2376746</f>
        <v>3282926</v>
      </c>
      <c r="Y4" s="23"/>
      <c r="Z4" s="27">
        <f>687162+135991+31920+22049+2388043</f>
        <v>3265165</v>
      </c>
      <c r="AA4" s="23"/>
      <c r="AB4" s="27">
        <f>1055280+141085+31058+41618+2296317</f>
        <v>3565358</v>
      </c>
      <c r="AC4" s="23"/>
      <c r="AD4" s="27">
        <f>654063+183883+31359+42344+2664161</f>
        <v>3575810</v>
      </c>
      <c r="AE4" s="23"/>
      <c r="AF4" s="27">
        <f>697935+99556+1306+43766+2797426</f>
        <v>3639989</v>
      </c>
      <c r="AG4" s="23"/>
      <c r="AH4" s="27">
        <f>661814+264512+1286+2895665+19931</f>
        <v>3843208</v>
      </c>
      <c r="AI4" s="23"/>
      <c r="AJ4" s="27">
        <f>674166+258997+50932+3001141</f>
        <v>3985236</v>
      </c>
      <c r="AK4" s="23"/>
      <c r="AL4" s="27">
        <f>775465+188706+52527+2787720</f>
        <v>3804418</v>
      </c>
      <c r="AM4" s="23"/>
      <c r="AN4" s="27">
        <f>593425+186995+50627+3066121</f>
        <v>3897168</v>
      </c>
      <c r="AO4" s="23"/>
      <c r="AP4" s="27">
        <f>736799+92761+51599+3287765</f>
        <v>4168924</v>
      </c>
      <c r="AQ4" s="23"/>
      <c r="AR4" s="27">
        <f>418878+129338+52911+3515319</f>
        <v>4116446</v>
      </c>
      <c r="AS4" s="23"/>
      <c r="AT4" s="27">
        <f>525368+24691+51211+3411377</f>
        <v>4012647</v>
      </c>
      <c r="AU4" s="23"/>
      <c r="AV4" s="27">
        <f>1401599+17266+50492+3270863</f>
        <v>4740220</v>
      </c>
      <c r="AW4" s="23"/>
      <c r="AX4" s="27">
        <f>760597+42+51019+4091600</f>
        <v>4903258</v>
      </c>
      <c r="AY4" s="23"/>
      <c r="AZ4" s="27">
        <f>1577367+244+50561+3088464</f>
        <v>4716636</v>
      </c>
      <c r="BA4" s="23"/>
      <c r="BB4" s="27">
        <f>1743180+1238+50318+2643544</f>
        <v>4438280</v>
      </c>
      <c r="BC4" s="23"/>
      <c r="BD4" s="27">
        <f>2381463+129+51364+2786850</f>
        <v>5219806</v>
      </c>
      <c r="BE4" s="23"/>
      <c r="BF4" s="27">
        <v>3625331</v>
      </c>
      <c r="BG4" s="23"/>
      <c r="BH4" s="27">
        <v>3614991</v>
      </c>
      <c r="BI4" s="23"/>
      <c r="BJ4" s="30">
        <f>1754179+3120+2881+2182065</f>
        <v>3942245</v>
      </c>
      <c r="BK4" s="23"/>
      <c r="BL4" s="30">
        <f>2006922+163+2786+2580689</f>
        <v>4590560</v>
      </c>
      <c r="BM4" s="23"/>
      <c r="BN4" s="30">
        <f>2665428+155+3017+1593159</f>
        <v>4261759</v>
      </c>
      <c r="BO4" s="23"/>
    </row>
    <row r="5" spans="1:67" ht="15.6" customHeight="1">
      <c r="A5" s="54" t="s">
        <v>21</v>
      </c>
      <c r="B5" s="82">
        <v>181939</v>
      </c>
      <c r="C5" s="23"/>
      <c r="D5" s="82">
        <v>215151</v>
      </c>
      <c r="E5" s="23"/>
      <c r="F5" s="82">
        <v>267583</v>
      </c>
      <c r="G5" s="23"/>
      <c r="H5" s="82">
        <v>182488</v>
      </c>
      <c r="I5" s="23"/>
      <c r="J5" s="82">
        <v>153963</v>
      </c>
      <c r="K5" s="23"/>
      <c r="L5" s="82">
        <f>222324</f>
        <v>222324</v>
      </c>
      <c r="M5" s="23"/>
      <c r="N5" s="82">
        <v>239819</v>
      </c>
      <c r="O5" s="23"/>
      <c r="P5" s="82">
        <v>264140</v>
      </c>
      <c r="Q5" s="23"/>
      <c r="R5" s="82">
        <v>137313</v>
      </c>
      <c r="S5" s="23"/>
      <c r="T5" s="82">
        <f>281223</f>
        <v>281223</v>
      </c>
      <c r="U5" s="23"/>
      <c r="V5" s="82">
        <v>270828</v>
      </c>
      <c r="W5" s="23"/>
      <c r="X5" s="82">
        <v>237798</v>
      </c>
      <c r="Y5" s="23"/>
      <c r="Z5" s="82">
        <v>272793</v>
      </c>
      <c r="AA5" s="23"/>
      <c r="AB5" s="82">
        <f>238759</f>
        <v>238759</v>
      </c>
      <c r="AC5" s="23"/>
      <c r="AD5" s="82">
        <v>196525</v>
      </c>
      <c r="AE5" s="23"/>
      <c r="AF5" s="82">
        <v>187092</v>
      </c>
      <c r="AG5" s="23"/>
      <c r="AH5" s="82">
        <v>218925</v>
      </c>
      <c r="AI5" s="23"/>
      <c r="AJ5" s="82">
        <v>262039</v>
      </c>
      <c r="AK5" s="23"/>
      <c r="AL5" s="82">
        <v>224347</v>
      </c>
      <c r="AM5" s="23"/>
      <c r="AN5" s="82">
        <v>155076</v>
      </c>
      <c r="AO5" s="23"/>
      <c r="AP5" s="82">
        <v>171856</v>
      </c>
      <c r="AQ5" s="23"/>
      <c r="AR5" s="82">
        <v>164134</v>
      </c>
      <c r="AS5" s="23"/>
      <c r="AT5" s="27">
        <v>284069</v>
      </c>
      <c r="AU5" s="23"/>
      <c r="AV5" s="27">
        <v>193296</v>
      </c>
      <c r="AW5" s="23"/>
      <c r="AX5" s="27">
        <v>234289</v>
      </c>
      <c r="AY5" s="23"/>
      <c r="AZ5" s="82">
        <f>593457+4</f>
        <v>593461</v>
      </c>
      <c r="BA5" s="23"/>
      <c r="BB5" s="27">
        <v>494568</v>
      </c>
      <c r="BC5" s="23"/>
      <c r="BD5" s="27">
        <v>361040</v>
      </c>
      <c r="BE5" s="23"/>
      <c r="BF5" s="27">
        <v>364952</v>
      </c>
      <c r="BG5" s="23"/>
      <c r="BH5" s="27">
        <v>603040</v>
      </c>
      <c r="BI5" s="23"/>
      <c r="BJ5" s="31">
        <v>663654</v>
      </c>
      <c r="BK5" s="23"/>
      <c r="BL5" s="31">
        <v>428802</v>
      </c>
      <c r="BM5" s="23"/>
      <c r="BN5" s="31">
        <v>665054</v>
      </c>
      <c r="BO5" s="23"/>
    </row>
    <row r="6" spans="1:67" ht="15.6" customHeight="1">
      <c r="A6" s="54" t="s">
        <v>22</v>
      </c>
      <c r="B6" s="27">
        <v>264504</v>
      </c>
      <c r="C6" s="23"/>
      <c r="D6" s="27">
        <v>204225</v>
      </c>
      <c r="E6" s="23"/>
      <c r="F6" s="27">
        <v>207892</v>
      </c>
      <c r="G6" s="23"/>
      <c r="H6" s="27">
        <v>214779</v>
      </c>
      <c r="I6" s="23"/>
      <c r="J6" s="27">
        <v>302248</v>
      </c>
      <c r="K6" s="23"/>
      <c r="L6" s="27">
        <v>294158</v>
      </c>
      <c r="M6" s="23"/>
      <c r="N6" s="27">
        <v>430526</v>
      </c>
      <c r="O6" s="23"/>
      <c r="P6" s="27">
        <v>691617</v>
      </c>
      <c r="Q6" s="23"/>
      <c r="R6" s="27">
        <v>813040</v>
      </c>
      <c r="S6" s="23"/>
      <c r="T6" s="27">
        <v>588499</v>
      </c>
      <c r="U6" s="23"/>
      <c r="V6" s="27">
        <v>686987</v>
      </c>
      <c r="W6" s="23"/>
      <c r="X6" s="27">
        <v>582756</v>
      </c>
      <c r="Y6" s="23"/>
      <c r="Z6" s="27">
        <v>590828</v>
      </c>
      <c r="AA6" s="23"/>
      <c r="AB6" s="27">
        <v>552363</v>
      </c>
      <c r="AC6" s="23"/>
      <c r="AD6" s="27">
        <v>597177</v>
      </c>
      <c r="AE6" s="23"/>
      <c r="AF6" s="27">
        <v>600965</v>
      </c>
      <c r="AG6" s="23"/>
      <c r="AH6" s="27">
        <v>611199</v>
      </c>
      <c r="AI6" s="23"/>
      <c r="AJ6" s="27">
        <v>448137</v>
      </c>
      <c r="AK6" s="23"/>
      <c r="AL6" s="27">
        <v>362042</v>
      </c>
      <c r="AM6" s="23"/>
      <c r="AN6" s="27">
        <v>500135</v>
      </c>
      <c r="AO6" s="23"/>
      <c r="AP6" s="27">
        <v>486091</v>
      </c>
      <c r="AQ6" s="23"/>
      <c r="AR6" s="27">
        <v>512045</v>
      </c>
      <c r="AS6" s="23"/>
      <c r="AT6" s="27">
        <v>509343</v>
      </c>
      <c r="AU6" s="23"/>
      <c r="AV6" s="27">
        <v>560753</v>
      </c>
      <c r="AW6" s="23"/>
      <c r="AX6" s="27">
        <v>430168</v>
      </c>
      <c r="AY6" s="23"/>
      <c r="AZ6" s="27">
        <v>386480</v>
      </c>
      <c r="BA6" s="23"/>
      <c r="BB6" s="27">
        <v>458841</v>
      </c>
      <c r="BC6" s="23"/>
      <c r="BD6" s="27">
        <v>550460</v>
      </c>
      <c r="BE6" s="23"/>
      <c r="BF6" s="27">
        <v>495408</v>
      </c>
      <c r="BG6" s="23"/>
      <c r="BH6" s="27">
        <v>503524</v>
      </c>
      <c r="BI6" s="23"/>
      <c r="BJ6" s="31">
        <v>375785</v>
      </c>
      <c r="BK6" s="23"/>
      <c r="BL6" s="31">
        <v>311444</v>
      </c>
      <c r="BM6" s="23"/>
      <c r="BN6" s="31">
        <v>311032</v>
      </c>
      <c r="BO6" s="23"/>
    </row>
    <row r="7" spans="1:67" ht="15.6" customHeight="1">
      <c r="A7" s="54" t="s">
        <v>23</v>
      </c>
      <c r="B7" s="82">
        <f>83212+4176+43168</f>
        <v>130556</v>
      </c>
      <c r="C7" s="23"/>
      <c r="D7" s="82">
        <f>95966+5360+42607</f>
        <v>143933</v>
      </c>
      <c r="E7" s="23"/>
      <c r="F7" s="82">
        <f>131711+4452+43767</f>
        <v>179930</v>
      </c>
      <c r="G7" s="23"/>
      <c r="H7" s="82">
        <f>106923+4227+47107</f>
        <v>158257</v>
      </c>
      <c r="I7" s="23"/>
      <c r="J7" s="82">
        <f>194404+4507+13703</f>
        <v>212614</v>
      </c>
      <c r="K7" s="23"/>
      <c r="L7" s="82">
        <f>179774+9612+11861</f>
        <v>201247</v>
      </c>
      <c r="M7" s="23"/>
      <c r="N7" s="82">
        <f>148464+6969+14830</f>
        <v>170263</v>
      </c>
      <c r="O7" s="23"/>
      <c r="P7" s="82">
        <f>228939+6440+17514</f>
        <v>252893</v>
      </c>
      <c r="Q7" s="23"/>
      <c r="R7" s="82">
        <f>242891+6767+17299</f>
        <v>266957</v>
      </c>
      <c r="S7" s="23"/>
      <c r="T7" s="82">
        <f>238724+4941+17046</f>
        <v>260711</v>
      </c>
      <c r="U7" s="23"/>
      <c r="V7" s="82">
        <f>269092+9428+25557</f>
        <v>304077</v>
      </c>
      <c r="W7" s="23"/>
      <c r="X7" s="82">
        <f>288893+9348+25200</f>
        <v>323441</v>
      </c>
      <c r="Y7" s="23"/>
      <c r="Z7" s="82">
        <f>262198+9004+30558</f>
        <v>301760</v>
      </c>
      <c r="AA7" s="23"/>
      <c r="AB7" s="82">
        <f>283628+7942+31451</f>
        <v>323021</v>
      </c>
      <c r="AC7" s="23"/>
      <c r="AD7" s="82">
        <f>235233+7633+32082</f>
        <v>274948</v>
      </c>
      <c r="AE7" s="23"/>
      <c r="AF7" s="82">
        <f>326243+5059+43997</f>
        <v>375299</v>
      </c>
      <c r="AG7" s="23"/>
      <c r="AH7" s="82">
        <f>260348+39167+1990</f>
        <v>301505</v>
      </c>
      <c r="AI7" s="23"/>
      <c r="AJ7" s="82">
        <f>427104+49184</f>
        <v>476288</v>
      </c>
      <c r="AK7" s="23"/>
      <c r="AL7" s="82">
        <f>389706+47173</f>
        <v>436879</v>
      </c>
      <c r="AM7" s="23"/>
      <c r="AN7" s="82">
        <f>332555+58255</f>
        <v>390810</v>
      </c>
      <c r="AO7" s="23"/>
      <c r="AP7" s="82">
        <f>373307+57791</f>
        <v>431098</v>
      </c>
      <c r="AQ7" s="23"/>
      <c r="AR7" s="82">
        <f>457267+108434</f>
        <v>565701</v>
      </c>
      <c r="AS7" s="23"/>
      <c r="AT7" s="27">
        <f>587378+57238</f>
        <v>644616</v>
      </c>
      <c r="AU7" s="23"/>
      <c r="AV7" s="27">
        <f>292545+40311</f>
        <v>332856</v>
      </c>
      <c r="AW7" s="23"/>
      <c r="AX7" s="27">
        <f>332772+18385</f>
        <v>351157</v>
      </c>
      <c r="AY7" s="23"/>
      <c r="AZ7" s="27">
        <f>20697+1695+87160</f>
        <v>109552</v>
      </c>
      <c r="BA7" s="23"/>
      <c r="BB7" s="27">
        <f>33031+20559+1995</f>
        <v>55585</v>
      </c>
      <c r="BC7" s="23"/>
      <c r="BD7" s="27">
        <f>35599+31921+1200</f>
        <v>68720</v>
      </c>
      <c r="BE7" s="23"/>
      <c r="BF7" s="27">
        <v>865349</v>
      </c>
      <c r="BG7" s="23"/>
      <c r="BH7" s="27">
        <v>70121</v>
      </c>
      <c r="BI7" s="23"/>
      <c r="BJ7" s="31">
        <f>54394+16516+1483</f>
        <v>72393</v>
      </c>
      <c r="BK7" s="23"/>
      <c r="BL7" s="31">
        <f>66177+14942+1446</f>
        <v>82565</v>
      </c>
      <c r="BM7" s="23"/>
      <c r="BN7" s="31">
        <v>174761</v>
      </c>
      <c r="BO7" s="23"/>
    </row>
    <row r="8" spans="1:67" ht="15.6" customHeight="1">
      <c r="A8" s="55" t="s">
        <v>24</v>
      </c>
      <c r="B8" s="27">
        <f>SUM(B4:B7)</f>
        <v>2394887</v>
      </c>
      <c r="C8" s="23"/>
      <c r="D8" s="27">
        <f>SUM(D4:D7)</f>
        <v>2448816</v>
      </c>
      <c r="E8" s="23"/>
      <c r="F8" s="27">
        <f>SUM(F4:F7)</f>
        <v>2508709</v>
      </c>
      <c r="G8" s="23"/>
      <c r="H8" s="27">
        <f>SUM(H4:H7)</f>
        <v>2550808</v>
      </c>
      <c r="I8" s="23"/>
      <c r="J8" s="27">
        <f>SUM(J4:J7)</f>
        <v>2752881</v>
      </c>
      <c r="K8" s="23"/>
      <c r="L8" s="27">
        <f>SUM(L4:L7)</f>
        <v>3074634</v>
      </c>
      <c r="M8" s="23"/>
      <c r="N8" s="27">
        <f>SUM(N4:N7)</f>
        <v>3237192</v>
      </c>
      <c r="O8" s="23"/>
      <c r="P8" s="27">
        <f>SUM(P4:P7)</f>
        <v>3370383</v>
      </c>
      <c r="Q8" s="23"/>
      <c r="R8" s="27">
        <f>SUM(R4:R7)</f>
        <v>3907164</v>
      </c>
      <c r="S8" s="23"/>
      <c r="T8" s="27">
        <f>SUM(T4:T7)</f>
        <v>4033775</v>
      </c>
      <c r="U8" s="23"/>
      <c r="V8" s="27">
        <f>SUM(V4:V7)</f>
        <v>4241370</v>
      </c>
      <c r="W8" s="23"/>
      <c r="X8" s="27">
        <f>SUM(X4:X7)</f>
        <v>4426921</v>
      </c>
      <c r="Y8" s="23"/>
      <c r="Z8" s="27">
        <f>SUM(Z4:Z7)</f>
        <v>4430546</v>
      </c>
      <c r="AA8" s="23"/>
      <c r="AB8" s="27">
        <f>SUM(AB4:AB7)</f>
        <v>4679501</v>
      </c>
      <c r="AC8" s="23"/>
      <c r="AD8" s="27">
        <f>SUM(AD4:AD7)</f>
        <v>4644460</v>
      </c>
      <c r="AE8" s="23"/>
      <c r="AF8" s="27">
        <f>SUM(AF4:AF7)</f>
        <v>4803345</v>
      </c>
      <c r="AG8" s="23"/>
      <c r="AH8" s="27">
        <f>SUM(AH4:AH7)</f>
        <v>4974837</v>
      </c>
      <c r="AI8" s="23"/>
      <c r="AJ8" s="27">
        <f>SUM(AJ4:AJ7)</f>
        <v>5171700</v>
      </c>
      <c r="AK8" s="23"/>
      <c r="AL8" s="27">
        <f>SUM(AL4:AL7)</f>
        <v>4827686</v>
      </c>
      <c r="AM8" s="23"/>
      <c r="AN8" s="27">
        <f>SUM(AN4:AN7)</f>
        <v>4943189</v>
      </c>
      <c r="AO8" s="23"/>
      <c r="AP8" s="27">
        <f>SUM(AP4:AP7)</f>
        <v>5257969</v>
      </c>
      <c r="AQ8" s="23"/>
      <c r="AR8" s="27">
        <f>SUM(AR4:AR7)</f>
        <v>5358326</v>
      </c>
      <c r="AS8" s="23"/>
      <c r="AT8" s="27">
        <f>SUM(AT4:AT7)</f>
        <v>5450675</v>
      </c>
      <c r="AU8" s="23"/>
      <c r="AV8" s="27">
        <f>SUM(AV4:AV7)</f>
        <v>5827125</v>
      </c>
      <c r="AW8" s="23"/>
      <c r="AX8" s="27">
        <f>SUM(AX4:AX7)</f>
        <v>5918872</v>
      </c>
      <c r="AY8" s="23"/>
      <c r="AZ8" s="27">
        <f>SUM(AZ4:AZ7)</f>
        <v>5806129</v>
      </c>
      <c r="BA8" s="23"/>
      <c r="BB8" s="27">
        <f>SUM(BB4:BB7)</f>
        <v>5447274</v>
      </c>
      <c r="BC8" s="23"/>
      <c r="BD8" s="27">
        <f>SUM(BD4:BD7)</f>
        <v>6200026</v>
      </c>
      <c r="BE8" s="23"/>
      <c r="BF8" s="27">
        <v>5351040</v>
      </c>
      <c r="BG8" s="23"/>
      <c r="BH8" s="27">
        <v>4791676</v>
      </c>
      <c r="BI8" s="23"/>
      <c r="BJ8" s="31">
        <f>SUM(BJ4:BJ7)</f>
        <v>5054077</v>
      </c>
      <c r="BK8" s="23"/>
      <c r="BL8" s="31">
        <f>SUM(BL4:BL7)</f>
        <v>5413371</v>
      </c>
      <c r="BM8" s="23"/>
      <c r="BN8" s="31">
        <v>5412606</v>
      </c>
      <c r="BO8" s="23"/>
    </row>
    <row r="9" spans="1:67" ht="15.6" customHeight="1">
      <c r="A9" s="54" t="s">
        <v>179</v>
      </c>
      <c r="B9" s="27">
        <f>52130+16980</f>
        <v>69110</v>
      </c>
      <c r="C9" s="23"/>
      <c r="D9" s="27">
        <f>51934+17167</f>
        <v>69101</v>
      </c>
      <c r="E9" s="23"/>
      <c r="F9" s="27">
        <f>53096+17335</f>
        <v>70431</v>
      </c>
      <c r="G9" s="23"/>
      <c r="H9" s="27">
        <f>54374+18002</f>
        <v>72376</v>
      </c>
      <c r="I9" s="23"/>
      <c r="J9" s="27">
        <f>54802+18224</f>
        <v>73026</v>
      </c>
      <c r="K9" s="23"/>
      <c r="L9" s="27">
        <f>56031+17781</f>
        <v>73812</v>
      </c>
      <c r="M9" s="23"/>
      <c r="N9" s="27">
        <f>57752+17603</f>
        <v>75355</v>
      </c>
      <c r="O9" s="23"/>
      <c r="P9" s="27">
        <f>60303+18187</f>
        <v>78490</v>
      </c>
      <c r="Q9" s="23"/>
      <c r="R9" s="27">
        <f>58675+18404</f>
        <v>77079</v>
      </c>
      <c r="S9" s="23"/>
      <c r="T9" s="27">
        <f>57010+18199</f>
        <v>75209</v>
      </c>
      <c r="U9" s="23"/>
      <c r="V9" s="27">
        <v>58455</v>
      </c>
      <c r="W9" s="23"/>
      <c r="X9" s="27">
        <v>58203</v>
      </c>
      <c r="Y9" s="23"/>
      <c r="Z9" s="27">
        <v>57997</v>
      </c>
      <c r="AA9" s="23"/>
      <c r="AB9" s="27">
        <v>60410</v>
      </c>
      <c r="AC9" s="23"/>
      <c r="AD9" s="27">
        <v>61154</v>
      </c>
      <c r="AE9" s="23"/>
      <c r="AF9" s="27">
        <f>63656+107</f>
        <v>63763</v>
      </c>
      <c r="AG9" s="23"/>
      <c r="AH9" s="27">
        <f>64676+25034+300</f>
        <v>90010</v>
      </c>
      <c r="AI9" s="23"/>
      <c r="AJ9" s="27">
        <f>68489+45224+810</f>
        <v>114523</v>
      </c>
      <c r="AK9" s="23"/>
      <c r="AL9" s="27">
        <f>45178+46915+810</f>
        <v>92903</v>
      </c>
      <c r="AM9" s="23"/>
      <c r="AN9" s="27">
        <f>51532+45126+4871</f>
        <v>101529</v>
      </c>
      <c r="AO9" s="23"/>
      <c r="AP9" s="27">
        <f>50483+45820+4871</f>
        <v>101174</v>
      </c>
      <c r="AQ9" s="23"/>
      <c r="AR9" s="27">
        <f>44444+46306+4871</f>
        <v>95621</v>
      </c>
      <c r="AS9" s="23"/>
      <c r="AT9" s="27">
        <f>43199+4871</f>
        <v>48070</v>
      </c>
      <c r="AU9" s="23"/>
      <c r="AV9" s="27">
        <f>34593+30370</f>
        <v>64963</v>
      </c>
      <c r="AW9" s="23"/>
      <c r="AX9" s="27">
        <f>27453+30370</f>
        <v>57823</v>
      </c>
      <c r="AY9" s="23"/>
      <c r="AZ9" s="27">
        <v>58248</v>
      </c>
      <c r="BA9" s="23"/>
      <c r="BB9" s="27">
        <f>31510+27692</f>
        <v>59202</v>
      </c>
      <c r="BC9" s="23"/>
      <c r="BD9" s="27">
        <f>31510+27449</f>
        <v>58959</v>
      </c>
      <c r="BE9" s="23"/>
      <c r="BF9" s="27">
        <v>46871</v>
      </c>
      <c r="BG9" s="23"/>
      <c r="BH9" s="27">
        <v>47939</v>
      </c>
      <c r="BI9" s="23"/>
      <c r="BJ9" s="31">
        <f>31510+17798</f>
        <v>49308</v>
      </c>
      <c r="BK9" s="23"/>
      <c r="BL9" s="31">
        <f>31510+18658</f>
        <v>50168</v>
      </c>
      <c r="BM9" s="23"/>
      <c r="BN9" s="31">
        <v>23004</v>
      </c>
      <c r="BO9" s="23"/>
    </row>
    <row r="10" spans="1:67" ht="15.6" customHeight="1">
      <c r="A10" s="54" t="s">
        <v>25</v>
      </c>
      <c r="B10" s="27">
        <f>341473+242871</f>
        <v>584344</v>
      </c>
      <c r="C10" s="23"/>
      <c r="D10" s="27">
        <f>345897+243301</f>
        <v>589198</v>
      </c>
      <c r="E10" s="23"/>
      <c r="F10" s="27">
        <f>461831+27003+132263</f>
        <v>621097</v>
      </c>
      <c r="G10" s="23"/>
      <c r="H10" s="27">
        <f>464640+32607+132497</f>
        <v>629744</v>
      </c>
      <c r="I10" s="23"/>
      <c r="J10" s="27">
        <f>470552+34510+132730</f>
        <v>637792</v>
      </c>
      <c r="K10" s="23"/>
      <c r="L10" s="27">
        <f>476488+132964</f>
        <v>609452</v>
      </c>
      <c r="M10" s="23"/>
      <c r="N10" s="27">
        <f>484028+133197</f>
        <v>617225</v>
      </c>
      <c r="O10" s="23"/>
      <c r="P10" s="27">
        <f>492774+133432</f>
        <v>626206</v>
      </c>
      <c r="Q10" s="23"/>
      <c r="R10" s="27">
        <f>484605+133665</f>
        <v>618270</v>
      </c>
      <c r="S10" s="23"/>
      <c r="T10" s="27">
        <f>483294+133899</f>
        <v>617193</v>
      </c>
      <c r="U10" s="23"/>
      <c r="V10" s="27">
        <f>494948+134132</f>
        <v>629080</v>
      </c>
      <c r="W10" s="23"/>
      <c r="X10" s="27">
        <f>500191+134365</f>
        <v>634556</v>
      </c>
      <c r="Y10" s="23"/>
      <c r="Z10" s="27">
        <f>497614+134599</f>
        <v>632213</v>
      </c>
      <c r="AA10" s="23"/>
      <c r="AB10" s="27">
        <f>506418+134833</f>
        <v>641251</v>
      </c>
      <c r="AC10" s="23"/>
      <c r="AD10" s="27">
        <f>517258+135066</f>
        <v>652324</v>
      </c>
      <c r="AE10" s="23"/>
      <c r="AF10" s="27">
        <f>528447+135300</f>
        <v>663747</v>
      </c>
      <c r="AG10" s="23"/>
      <c r="AH10" s="27">
        <f>532158+135533</f>
        <v>667691</v>
      </c>
      <c r="AI10" s="23"/>
      <c r="AJ10" s="27">
        <f>541020+135767</f>
        <v>676787</v>
      </c>
      <c r="AK10" s="23"/>
      <c r="AL10" s="27">
        <f>546019+136001</f>
        <v>682020</v>
      </c>
      <c r="AM10" s="23"/>
      <c r="AN10" s="27">
        <f>546137+136234</f>
        <v>682371</v>
      </c>
      <c r="AO10" s="23"/>
      <c r="AP10" s="27">
        <f>544843+137575</f>
        <v>682418</v>
      </c>
      <c r="AQ10" s="23"/>
      <c r="AR10" s="27">
        <v>685008</v>
      </c>
      <c r="AS10" s="23"/>
      <c r="AT10" s="27">
        <v>685093</v>
      </c>
      <c r="AU10" s="23"/>
      <c r="AV10" s="27">
        <v>691939</v>
      </c>
      <c r="AW10" s="23"/>
      <c r="AX10" s="27">
        <v>701894</v>
      </c>
      <c r="AY10" s="23"/>
      <c r="AZ10" s="27">
        <v>702819</v>
      </c>
      <c r="BA10" s="23"/>
      <c r="BB10" s="27">
        <v>700554</v>
      </c>
      <c r="BC10" s="23"/>
      <c r="BD10" s="27">
        <v>705096</v>
      </c>
      <c r="BE10" s="23"/>
      <c r="BF10" s="27">
        <v>710381</v>
      </c>
      <c r="BG10" s="23"/>
      <c r="BH10" s="27">
        <v>1510778</v>
      </c>
      <c r="BI10" s="23"/>
      <c r="BJ10" s="31">
        <f>553226+942868</f>
        <v>1496094</v>
      </c>
      <c r="BK10" s="23"/>
      <c r="BL10" s="31">
        <f>558305+944382</f>
        <v>1502687</v>
      </c>
      <c r="BM10" s="23"/>
      <c r="BN10" s="31">
        <v>1511911</v>
      </c>
      <c r="BO10" s="23"/>
    </row>
    <row r="11" spans="1:67" ht="15.6" customHeight="1">
      <c r="A11" s="54" t="s">
        <v>26</v>
      </c>
      <c r="B11" s="27">
        <v>102459</v>
      </c>
      <c r="C11" s="23"/>
      <c r="D11" s="27">
        <v>123791</v>
      </c>
      <c r="E11" s="23"/>
      <c r="F11" s="27">
        <v>145393</v>
      </c>
      <c r="G11" s="23"/>
      <c r="H11" s="27">
        <v>169200</v>
      </c>
      <c r="I11" s="23"/>
      <c r="J11" s="27">
        <v>192893</v>
      </c>
      <c r="K11" s="23"/>
      <c r="L11" s="27">
        <v>126197</v>
      </c>
      <c r="M11" s="23"/>
      <c r="N11" s="27">
        <v>126896</v>
      </c>
      <c r="O11" s="23"/>
      <c r="P11" s="27">
        <v>148711</v>
      </c>
      <c r="Q11" s="23"/>
      <c r="R11" s="27">
        <v>168060</v>
      </c>
      <c r="S11" s="23"/>
      <c r="T11" s="27">
        <v>175351</v>
      </c>
      <c r="U11" s="23"/>
      <c r="V11" s="27">
        <v>137918</v>
      </c>
      <c r="W11" s="23"/>
      <c r="X11" s="27">
        <v>156530</v>
      </c>
      <c r="Y11" s="23"/>
      <c r="Z11" s="27">
        <v>149422</v>
      </c>
      <c r="AA11" s="23"/>
      <c r="AB11" s="27">
        <v>170971</v>
      </c>
      <c r="AC11" s="23"/>
      <c r="AD11" s="27">
        <f>319236+195177</f>
        <v>514413</v>
      </c>
      <c r="AE11" s="23"/>
      <c r="AF11" s="27">
        <f>319236+102633</f>
        <v>421869</v>
      </c>
      <c r="AG11" s="23"/>
      <c r="AH11" s="27">
        <f>319236+131457</f>
        <v>450693</v>
      </c>
      <c r="AI11" s="23"/>
      <c r="AJ11" s="27">
        <f>319236+127616</f>
        <v>446852</v>
      </c>
      <c r="AK11" s="23"/>
      <c r="AL11" s="27">
        <f>319236+156449</f>
        <v>475685</v>
      </c>
      <c r="AM11" s="23"/>
      <c r="AN11" s="27">
        <f>319236+177255</f>
        <v>496491</v>
      </c>
      <c r="AO11" s="23"/>
      <c r="AP11" s="27">
        <f>319236+203046</f>
        <v>522282</v>
      </c>
      <c r="AQ11" s="23"/>
      <c r="AR11" s="27">
        <f>319236+229189</f>
        <v>548425</v>
      </c>
      <c r="AS11" s="23"/>
      <c r="AT11" s="27">
        <f>319236+157863</f>
        <v>477099</v>
      </c>
      <c r="AU11" s="23"/>
      <c r="AV11" s="27">
        <f>319236+182882</f>
        <v>502118</v>
      </c>
      <c r="AW11" s="23"/>
      <c r="AX11" s="27">
        <f>319236+209847</f>
        <v>529083</v>
      </c>
      <c r="AY11" s="23"/>
      <c r="AZ11" s="27">
        <v>555299</v>
      </c>
      <c r="BA11" s="23"/>
      <c r="BB11" s="27">
        <v>574236</v>
      </c>
      <c r="BC11" s="23"/>
      <c r="BD11" s="27">
        <v>590958</v>
      </c>
      <c r="BE11" s="23"/>
      <c r="BF11" s="27">
        <v>612668</v>
      </c>
      <c r="BG11" s="23"/>
      <c r="BH11" s="27">
        <v>542855</v>
      </c>
      <c r="BI11" s="23"/>
      <c r="BJ11" s="31">
        <v>101039</v>
      </c>
      <c r="BK11" s="23"/>
      <c r="BL11" s="31">
        <v>112398</v>
      </c>
      <c r="BM11" s="23"/>
      <c r="BN11" s="31">
        <v>126662</v>
      </c>
      <c r="BO11" s="23"/>
    </row>
    <row r="12" spans="1:67" ht="15.6" customHeight="1">
      <c r="A12" s="54" t="s">
        <v>27</v>
      </c>
      <c r="B12" s="33">
        <f>654681+8124+82557+18142</f>
        <v>763504</v>
      </c>
      <c r="C12" s="23"/>
      <c r="D12" s="33">
        <f>644018+8199+90062+13595</f>
        <v>755874</v>
      </c>
      <c r="E12" s="23"/>
      <c r="F12" s="33">
        <f>633078+8261+97668</f>
        <v>739007</v>
      </c>
      <c r="G12" s="23"/>
      <c r="H12" s="33">
        <f>616529+9570+104268</f>
        <v>730367</v>
      </c>
      <c r="I12" s="23"/>
      <c r="J12" s="33">
        <f>586217+10644+143670</f>
        <v>740531</v>
      </c>
      <c r="K12" s="23"/>
      <c r="L12" s="33">
        <f>572873+10528</f>
        <v>583401</v>
      </c>
      <c r="M12" s="23"/>
      <c r="N12" s="33">
        <f>508612+10496</f>
        <v>519108</v>
      </c>
      <c r="O12" s="23"/>
      <c r="P12" s="33">
        <f>456400+10460</f>
        <v>466860</v>
      </c>
      <c r="Q12" s="23"/>
      <c r="R12" s="33">
        <f>411576+10496</f>
        <v>422072</v>
      </c>
      <c r="S12" s="23"/>
      <c r="T12" s="33">
        <f>318731+10434</f>
        <v>329165</v>
      </c>
      <c r="U12" s="23"/>
      <c r="V12" s="33">
        <f>282837+10500</f>
        <v>293337</v>
      </c>
      <c r="W12" s="23"/>
      <c r="X12" s="33">
        <f>259472+10528</f>
        <v>270000</v>
      </c>
      <c r="Y12" s="23"/>
      <c r="Z12" s="33">
        <f>237934+10608</f>
        <v>248542</v>
      </c>
      <c r="AA12" s="23"/>
      <c r="AB12" s="33">
        <f>214171+10971</f>
        <v>225142</v>
      </c>
      <c r="AC12" s="23"/>
      <c r="AD12" s="33">
        <f>204120+10668</f>
        <v>214788</v>
      </c>
      <c r="AE12" s="23"/>
      <c r="AF12" s="33">
        <f>182584+10848</f>
        <v>193432</v>
      </c>
      <c r="AG12" s="23"/>
      <c r="AH12" s="33">
        <f>164023+11212</f>
        <v>175235</v>
      </c>
      <c r="AI12" s="23"/>
      <c r="AJ12" s="33">
        <f>159721+12478</f>
        <v>172199</v>
      </c>
      <c r="AK12" s="23"/>
      <c r="AL12" s="33">
        <f>165486+12375</f>
        <v>177861</v>
      </c>
      <c r="AM12" s="23"/>
      <c r="AN12" s="33">
        <f>164165+11889</f>
        <v>176054</v>
      </c>
      <c r="AO12" s="23"/>
      <c r="AP12" s="33">
        <f>145670+11579</f>
        <v>157249</v>
      </c>
      <c r="AQ12" s="23"/>
      <c r="AR12" s="33">
        <f>141138+12047</f>
        <v>153185</v>
      </c>
      <c r="AS12" s="23"/>
      <c r="AT12" s="33">
        <f>140619+11390</f>
        <v>152009</v>
      </c>
      <c r="AU12" s="23"/>
      <c r="AV12" s="33">
        <f>116162+51+11444</f>
        <v>127657</v>
      </c>
      <c r="AW12" s="23"/>
      <c r="AX12" s="33">
        <f>83840+51+11628</f>
        <v>95519</v>
      </c>
      <c r="AY12" s="23"/>
      <c r="AZ12" s="33">
        <v>116283</v>
      </c>
      <c r="BA12" s="23"/>
      <c r="BB12" s="33">
        <f>138928+1762+11429</f>
        <v>152119</v>
      </c>
      <c r="BC12" s="23"/>
      <c r="BD12" s="33">
        <f>157221+11334</f>
        <v>168555</v>
      </c>
      <c r="BE12" s="23"/>
      <c r="BF12" s="33">
        <v>167354</v>
      </c>
      <c r="BG12" s="23"/>
      <c r="BH12" s="33">
        <v>165327</v>
      </c>
      <c r="BI12" s="23"/>
      <c r="BJ12" s="32">
        <f>158829+7002</f>
        <v>165831</v>
      </c>
      <c r="BK12" s="23"/>
      <c r="BL12" s="32">
        <f>122482+5900</f>
        <v>128382</v>
      </c>
      <c r="BM12" s="23"/>
      <c r="BN12" s="32">
        <v>165258</v>
      </c>
      <c r="BO12" s="23"/>
    </row>
    <row r="13" spans="1:67" s="13" customFormat="1" ht="16.5">
      <c r="A13" s="55" t="s">
        <v>28</v>
      </c>
      <c r="B13" s="34">
        <f>SUM(B8:B12)</f>
        <v>3914304</v>
      </c>
      <c r="C13" s="24"/>
      <c r="D13" s="34">
        <f>SUM(D8:D12)</f>
        <v>3986780</v>
      </c>
      <c r="E13" s="24"/>
      <c r="F13" s="34">
        <f>SUM(F8:F12)</f>
        <v>4084637</v>
      </c>
      <c r="G13" s="24"/>
      <c r="H13" s="34">
        <f>SUM(H8:H12)</f>
        <v>4152495</v>
      </c>
      <c r="I13" s="24"/>
      <c r="J13" s="34">
        <f>SUM(J8:J12)</f>
        <v>4397123</v>
      </c>
      <c r="K13" s="24"/>
      <c r="L13" s="34">
        <f>SUM(L8:L12)</f>
        <v>4467496</v>
      </c>
      <c r="M13" s="24"/>
      <c r="N13" s="34">
        <f>SUM(N8:N12)</f>
        <v>4575776</v>
      </c>
      <c r="O13" s="24"/>
      <c r="P13" s="34">
        <f>SUM(P8:P12)</f>
        <v>4690650</v>
      </c>
      <c r="Q13" s="24"/>
      <c r="R13" s="34">
        <f>SUM(R8:R12)</f>
        <v>5192645</v>
      </c>
      <c r="S13" s="24"/>
      <c r="T13" s="34">
        <f>SUM(T8:T12)</f>
        <v>5230693</v>
      </c>
      <c r="U13" s="24"/>
      <c r="V13" s="34">
        <f>SUM(V8:V12)</f>
        <v>5360160</v>
      </c>
      <c r="W13" s="24"/>
      <c r="X13" s="34">
        <f>SUM(X8:X12)</f>
        <v>5546210</v>
      </c>
      <c r="Y13" s="24"/>
      <c r="Z13" s="34">
        <f>SUM(Z8:Z12)</f>
        <v>5518720</v>
      </c>
      <c r="AA13" s="24"/>
      <c r="AB13" s="34">
        <f>SUM(AB8:AB12)</f>
        <v>5777275</v>
      </c>
      <c r="AC13" s="24"/>
      <c r="AD13" s="34">
        <f>SUM(AD8:AD12)</f>
        <v>6087139</v>
      </c>
      <c r="AE13" s="24"/>
      <c r="AF13" s="34">
        <f>SUM(AF8:AF12)</f>
        <v>6146156</v>
      </c>
      <c r="AG13" s="24"/>
      <c r="AH13" s="34">
        <f>SUM(AH8:AH12)</f>
        <v>6358466</v>
      </c>
      <c r="AI13" s="24"/>
      <c r="AJ13" s="34">
        <f>SUM(AJ8:AJ12)</f>
        <v>6582061</v>
      </c>
      <c r="AK13" s="24"/>
      <c r="AL13" s="34">
        <f>SUM(AL8:AL12)</f>
        <v>6256155</v>
      </c>
      <c r="AM13" s="24"/>
      <c r="AN13" s="34">
        <f>SUM(AN8:AN12)</f>
        <v>6399634</v>
      </c>
      <c r="AO13" s="24"/>
      <c r="AP13" s="34">
        <f>SUM(AP8:AP12)</f>
        <v>6721092</v>
      </c>
      <c r="AQ13" s="24"/>
      <c r="AR13" s="34">
        <f>SUM(AR8:AR12)</f>
        <v>6840565</v>
      </c>
      <c r="AS13" s="24"/>
      <c r="AT13" s="34">
        <f>SUM(AT8:AT12)</f>
        <v>6812946</v>
      </c>
      <c r="AU13" s="24"/>
      <c r="AV13" s="34">
        <f>SUM(AV8:AV12)</f>
        <v>7213802</v>
      </c>
      <c r="AW13" s="24"/>
      <c r="AX13" s="34">
        <f>SUM(AX8:AX12)</f>
        <v>7303191</v>
      </c>
      <c r="AY13" s="24"/>
      <c r="AZ13" s="34">
        <f>SUM(AZ8:AZ12)</f>
        <v>7238778</v>
      </c>
      <c r="BA13" s="24"/>
      <c r="BB13" s="34">
        <f>SUM(BB8:BB12)</f>
        <v>6933385</v>
      </c>
      <c r="BC13" s="24"/>
      <c r="BD13" s="34">
        <f>SUM(BD8:BD12)</f>
        <v>7723594</v>
      </c>
      <c r="BE13" s="24"/>
      <c r="BF13" s="34">
        <f>SUM(BF8:BF12)</f>
        <v>6888314</v>
      </c>
      <c r="BG13" s="24"/>
      <c r="BH13" s="46">
        <f>SUM(BH8:BH12)</f>
        <v>7058575</v>
      </c>
      <c r="BI13" s="24"/>
      <c r="BJ13" s="34">
        <f>SUM(BJ8:BJ12)</f>
        <v>6866349</v>
      </c>
      <c r="BK13" s="24"/>
      <c r="BL13" s="34">
        <f>SUM(BL8:BL12)</f>
        <v>7207006</v>
      </c>
      <c r="BM13" s="24"/>
      <c r="BN13" s="34">
        <f>SUM(BN8:BN12)</f>
        <v>7239441</v>
      </c>
      <c r="BO13" s="24"/>
    </row>
    <row r="14" spans="1:67">
      <c r="A14" s="54"/>
      <c r="B14" s="35"/>
      <c r="C14" s="23"/>
      <c r="D14" s="35"/>
      <c r="E14" s="23"/>
      <c r="F14" s="35"/>
      <c r="G14" s="23"/>
      <c r="H14" s="35"/>
      <c r="I14" s="23"/>
      <c r="J14" s="35"/>
      <c r="K14" s="23"/>
      <c r="L14" s="35"/>
      <c r="M14" s="23"/>
      <c r="N14" s="35"/>
      <c r="O14" s="23"/>
      <c r="P14" s="35"/>
      <c r="Q14" s="23"/>
      <c r="R14" s="35"/>
      <c r="S14" s="23"/>
      <c r="T14" s="35"/>
      <c r="U14" s="23"/>
      <c r="V14" s="35"/>
      <c r="W14" s="23"/>
      <c r="X14" s="35"/>
      <c r="Y14" s="23"/>
      <c r="Z14" s="35"/>
      <c r="AA14" s="23"/>
      <c r="AB14" s="35"/>
      <c r="AC14" s="23"/>
      <c r="AD14" s="35"/>
      <c r="AE14" s="23"/>
      <c r="AF14" s="35"/>
      <c r="AG14" s="23"/>
      <c r="AH14" s="35"/>
      <c r="AI14" s="23"/>
      <c r="AJ14" s="35"/>
      <c r="AK14" s="23"/>
      <c r="AL14" s="35"/>
      <c r="AM14" s="23"/>
      <c r="AN14" s="35"/>
      <c r="AO14" s="23"/>
      <c r="AP14" s="35"/>
      <c r="AQ14" s="23"/>
      <c r="AR14" s="35"/>
      <c r="AS14" s="23"/>
      <c r="AT14" s="35"/>
      <c r="AU14" s="23"/>
      <c r="AV14" s="35"/>
      <c r="AW14" s="23"/>
      <c r="AX14" s="35"/>
      <c r="AY14" s="23"/>
      <c r="AZ14" s="35"/>
      <c r="BA14" s="23"/>
      <c r="BB14" s="35"/>
      <c r="BC14" s="23"/>
      <c r="BD14" s="35"/>
      <c r="BE14" s="23"/>
      <c r="BF14" s="35"/>
      <c r="BG14" s="23"/>
      <c r="BH14" s="35"/>
      <c r="BI14" s="23"/>
      <c r="BJ14" s="30"/>
      <c r="BK14" s="23"/>
      <c r="BL14" s="30"/>
      <c r="BM14" s="23"/>
      <c r="BN14" s="30"/>
      <c r="BO14" s="23"/>
    </row>
    <row r="15" spans="1:67" ht="15.6" customHeight="1">
      <c r="A15" s="54" t="s">
        <v>29</v>
      </c>
      <c r="B15" s="27">
        <v>294596</v>
      </c>
      <c r="C15" s="23"/>
      <c r="D15" s="27">
        <v>196726</v>
      </c>
      <c r="E15" s="23"/>
      <c r="F15" s="27">
        <v>252112</v>
      </c>
      <c r="G15" s="23"/>
      <c r="H15" s="27">
        <v>265802</v>
      </c>
      <c r="I15" s="23"/>
      <c r="J15" s="27">
        <v>408160</v>
      </c>
      <c r="K15" s="23"/>
      <c r="L15" s="27">
        <v>405480</v>
      </c>
      <c r="M15" s="23"/>
      <c r="N15" s="27">
        <v>356398</v>
      </c>
      <c r="O15" s="23"/>
      <c r="P15" s="27">
        <v>286111</v>
      </c>
      <c r="Q15" s="23"/>
      <c r="R15" s="27">
        <v>614578</v>
      </c>
      <c r="S15" s="23"/>
      <c r="T15" s="27">
        <v>407748</v>
      </c>
      <c r="U15" s="23"/>
      <c r="V15" s="27">
        <f>471692</f>
        <v>471692</v>
      </c>
      <c r="W15" s="23"/>
      <c r="X15" s="27">
        <v>540847</v>
      </c>
      <c r="Y15" s="23"/>
      <c r="Z15" s="27">
        <f>474493</f>
        <v>474493</v>
      </c>
      <c r="AA15" s="23"/>
      <c r="AB15" s="27">
        <v>448124</v>
      </c>
      <c r="AC15" s="23"/>
      <c r="AD15" s="27">
        <f>410313</f>
        <v>410313</v>
      </c>
      <c r="AE15" s="23"/>
      <c r="AF15" s="27">
        <f>388943</f>
        <v>388943</v>
      </c>
      <c r="AG15" s="23"/>
      <c r="AH15" s="27">
        <v>525708</v>
      </c>
      <c r="AI15" s="23"/>
      <c r="AJ15" s="27">
        <v>633629</v>
      </c>
      <c r="AK15" s="23"/>
      <c r="AL15" s="27">
        <v>345868</v>
      </c>
      <c r="AM15" s="23"/>
      <c r="AN15" s="27">
        <v>324307</v>
      </c>
      <c r="AO15" s="23"/>
      <c r="AP15" s="27">
        <v>451214</v>
      </c>
      <c r="AQ15" s="23"/>
      <c r="AR15" s="27">
        <v>511217</v>
      </c>
      <c r="AS15" s="23"/>
      <c r="AT15" s="27">
        <v>604935</v>
      </c>
      <c r="AU15" s="23"/>
      <c r="AV15" s="27">
        <v>484040</v>
      </c>
      <c r="AW15" s="23"/>
      <c r="AX15" s="27">
        <v>554009</v>
      </c>
      <c r="AY15" s="23"/>
      <c r="AZ15" s="27">
        <v>492527</v>
      </c>
      <c r="BA15" s="23"/>
      <c r="BB15" s="27">
        <v>456522</v>
      </c>
      <c r="BC15" s="23"/>
      <c r="BD15" s="27">
        <v>574761</v>
      </c>
      <c r="BE15" s="23"/>
      <c r="BF15" s="27">
        <v>491152</v>
      </c>
      <c r="BG15" s="23"/>
      <c r="BH15" s="27">
        <v>643566</v>
      </c>
      <c r="BI15" s="23"/>
      <c r="BJ15" s="31">
        <v>641041</v>
      </c>
      <c r="BK15" s="23"/>
      <c r="BL15" s="31">
        <v>667224</v>
      </c>
      <c r="BM15" s="23"/>
      <c r="BN15" s="31">
        <v>862357</v>
      </c>
      <c r="BO15" s="23"/>
    </row>
    <row r="16" spans="1:67" ht="15.6" customHeight="1">
      <c r="A16" s="54" t="s">
        <v>30</v>
      </c>
      <c r="B16" s="27">
        <f>605703-294596</f>
        <v>311107</v>
      </c>
      <c r="C16" s="23"/>
      <c r="D16" s="27">
        <f>640803-196726</f>
        <v>444077</v>
      </c>
      <c r="E16" s="23"/>
      <c r="F16" s="27">
        <f>4804+369274+2134+13401+18847+3170</f>
        <v>411630</v>
      </c>
      <c r="G16" s="23"/>
      <c r="H16" s="27">
        <f>5071+361919+186+6062+22150+2420</f>
        <v>397808</v>
      </c>
      <c r="I16" s="23"/>
      <c r="J16" s="27">
        <f>1770+332541+2718+4228+23887+12497</f>
        <v>377641</v>
      </c>
      <c r="K16" s="23"/>
      <c r="L16" s="27">
        <f>389309+8062+7275+6854+2864</f>
        <v>414364</v>
      </c>
      <c r="M16" s="23"/>
      <c r="N16" s="27">
        <f>268871+6831+5504+5353+5172</f>
        <v>291731</v>
      </c>
      <c r="O16" s="23"/>
      <c r="P16" s="27">
        <f>248578+4377+2994+4891+4276</f>
        <v>265116</v>
      </c>
      <c r="Q16" s="23"/>
      <c r="R16" s="27">
        <f>233966+2578+8291+8958+4910</f>
        <v>258703</v>
      </c>
      <c r="S16" s="23"/>
      <c r="T16" s="27">
        <f>398527+1573+7963+11225</f>
        <v>419288</v>
      </c>
      <c r="U16" s="23"/>
      <c r="V16" s="27">
        <f>303965+440+9352+14140</f>
        <v>327897</v>
      </c>
      <c r="W16" s="23"/>
      <c r="X16" s="27">
        <f>329772+1341+12018+15523</f>
        <v>358654</v>
      </c>
      <c r="Y16" s="23"/>
      <c r="Z16" s="27">
        <f>155+246153+43+11769+16052</f>
        <v>274172</v>
      </c>
      <c r="AA16" s="23"/>
      <c r="AB16" s="27">
        <f>386647+1231+11632+19990</f>
        <v>419500</v>
      </c>
      <c r="AC16" s="23"/>
      <c r="AD16" s="27">
        <f>360197+1843+6844+24093</f>
        <v>392977</v>
      </c>
      <c r="AE16" s="23"/>
      <c r="AF16" s="27">
        <f>274193+6613+7674+35826</f>
        <v>324306</v>
      </c>
      <c r="AG16" s="23"/>
      <c r="AH16" s="27">
        <f>261024+1357+7966+33068</f>
        <v>303415</v>
      </c>
      <c r="AI16" s="23"/>
      <c r="AJ16" s="27">
        <f>358811+5053+7162+29340</f>
        <v>400366</v>
      </c>
      <c r="AK16" s="23"/>
      <c r="AL16" s="27">
        <f>332105+3182+12606+55373</f>
        <v>403266</v>
      </c>
      <c r="AM16" s="23"/>
      <c r="AN16" s="27">
        <f>548063+6486+12562+32422</f>
        <v>599533</v>
      </c>
      <c r="AO16" s="23"/>
      <c r="AP16" s="27">
        <f>342682+38058+10372+51478</f>
        <v>442590</v>
      </c>
      <c r="AQ16" s="23"/>
      <c r="AR16" s="27">
        <f>419264+30038+7313+59797</f>
        <v>516412</v>
      </c>
      <c r="AS16" s="23"/>
      <c r="AT16" s="27">
        <f>1075266-AT15</f>
        <v>470331</v>
      </c>
      <c r="AU16" s="23"/>
      <c r="AV16" s="27">
        <f>1644198-AV15</f>
        <v>1160158</v>
      </c>
      <c r="AW16" s="23"/>
      <c r="AX16" s="27">
        <f>1107829-554009</f>
        <v>553820</v>
      </c>
      <c r="AY16" s="23"/>
      <c r="AZ16" s="27">
        <f>1120772-AZ15</f>
        <v>628245</v>
      </c>
      <c r="BA16" s="23"/>
      <c r="BB16" s="27">
        <f>895552-BB15</f>
        <v>439030</v>
      </c>
      <c r="BC16" s="23"/>
      <c r="BD16" s="27">
        <f>1651311-BD15</f>
        <v>1076550</v>
      </c>
      <c r="BE16" s="23"/>
      <c r="BF16" s="27">
        <v>673348</v>
      </c>
      <c r="BG16" s="23"/>
      <c r="BH16" s="27">
        <v>667797</v>
      </c>
      <c r="BI16" s="23"/>
      <c r="BJ16" s="31">
        <f>1251636-BJ15</f>
        <v>610595</v>
      </c>
      <c r="BK16" s="23"/>
      <c r="BL16" s="31">
        <f>1786339-667224</f>
        <v>1119115</v>
      </c>
      <c r="BM16" s="23"/>
      <c r="BN16" s="31">
        <v>648109</v>
      </c>
      <c r="BO16" s="23"/>
    </row>
    <row r="17" spans="1:67" ht="15.6" customHeight="1">
      <c r="A17" s="94" t="s">
        <v>180</v>
      </c>
      <c r="B17" s="33">
        <v>12186</v>
      </c>
      <c r="C17" s="23"/>
      <c r="D17" s="33">
        <v>11242</v>
      </c>
      <c r="E17" s="23"/>
      <c r="F17" s="33">
        <v>9771</v>
      </c>
      <c r="G17" s="23"/>
      <c r="H17" s="33">
        <v>19865</v>
      </c>
      <c r="I17" s="23"/>
      <c r="J17" s="33">
        <v>22041</v>
      </c>
      <c r="K17" s="23"/>
      <c r="L17" s="33">
        <v>6746</v>
      </c>
      <c r="M17" s="23"/>
      <c r="N17" s="33">
        <v>6038</v>
      </c>
      <c r="O17" s="23"/>
      <c r="P17" s="33">
        <v>10656</v>
      </c>
      <c r="Q17" s="23"/>
      <c r="R17" s="33">
        <v>12047</v>
      </c>
      <c r="S17" s="23"/>
      <c r="T17" s="33">
        <v>8218</v>
      </c>
      <c r="U17" s="23"/>
      <c r="V17" s="33">
        <v>12990</v>
      </c>
      <c r="W17" s="23"/>
      <c r="X17" s="33">
        <v>13154</v>
      </c>
      <c r="Y17" s="23"/>
      <c r="Z17" s="33">
        <v>12903</v>
      </c>
      <c r="AA17" s="23"/>
      <c r="AB17" s="33">
        <v>17626</v>
      </c>
      <c r="AC17" s="23"/>
      <c r="AD17" s="33">
        <v>21275</v>
      </c>
      <c r="AE17" s="23"/>
      <c r="AF17" s="33">
        <v>25308</v>
      </c>
      <c r="AG17" s="23"/>
      <c r="AH17" s="33">
        <v>30858</v>
      </c>
      <c r="AI17" s="23"/>
      <c r="AJ17" s="33">
        <v>30148</v>
      </c>
      <c r="AK17" s="23"/>
      <c r="AL17" s="33">
        <v>37907</v>
      </c>
      <c r="AM17" s="23"/>
      <c r="AN17" s="33">
        <v>31719</v>
      </c>
      <c r="AO17" s="23"/>
      <c r="AP17" s="33">
        <v>34202</v>
      </c>
      <c r="AQ17" s="23"/>
      <c r="AR17" s="33">
        <v>38915</v>
      </c>
      <c r="AS17" s="23"/>
      <c r="AT17" s="33">
        <v>35734</v>
      </c>
      <c r="AU17" s="23"/>
      <c r="AV17" s="33">
        <v>20352</v>
      </c>
      <c r="AW17" s="23"/>
      <c r="AX17" s="33">
        <v>0</v>
      </c>
      <c r="AY17" s="23"/>
      <c r="AZ17" s="33">
        <v>23331</v>
      </c>
      <c r="BA17" s="23"/>
      <c r="BB17" s="33">
        <v>38217</v>
      </c>
      <c r="BC17" s="23"/>
      <c r="BD17" s="33">
        <v>40142</v>
      </c>
      <c r="BE17" s="23"/>
      <c r="BF17" s="33">
        <v>34114</v>
      </c>
      <c r="BG17" s="23"/>
      <c r="BH17" s="33">
        <v>34695</v>
      </c>
      <c r="BI17" s="23"/>
      <c r="BJ17" s="32">
        <v>7755</v>
      </c>
      <c r="BK17" s="23"/>
      <c r="BL17" s="32">
        <v>7755</v>
      </c>
      <c r="BM17" s="23"/>
      <c r="BN17" s="32">
        <v>6808</v>
      </c>
      <c r="BO17" s="23"/>
    </row>
    <row r="18" spans="1:67" s="13" customFormat="1" ht="16.5">
      <c r="A18" s="55" t="s">
        <v>31</v>
      </c>
      <c r="B18" s="34">
        <f>SUM(B15:B17)</f>
        <v>617889</v>
      </c>
      <c r="C18" s="24"/>
      <c r="D18" s="34">
        <f>SUM(D15:D17)</f>
        <v>652045</v>
      </c>
      <c r="E18" s="24"/>
      <c r="F18" s="34">
        <f>SUM(F15:F17)</f>
        <v>673513</v>
      </c>
      <c r="G18" s="24"/>
      <c r="H18" s="34">
        <f>SUM(H15:H17)</f>
        <v>683475</v>
      </c>
      <c r="I18" s="24"/>
      <c r="J18" s="34">
        <f>SUM(J15:J17)</f>
        <v>807842</v>
      </c>
      <c r="K18" s="24"/>
      <c r="L18" s="34">
        <f>SUM(L15:L17)</f>
        <v>826590</v>
      </c>
      <c r="M18" s="24"/>
      <c r="N18" s="34">
        <f>SUM(N15:N17)</f>
        <v>654167</v>
      </c>
      <c r="O18" s="24"/>
      <c r="P18" s="34">
        <f>SUM(P15:P17)</f>
        <v>561883</v>
      </c>
      <c r="Q18" s="24"/>
      <c r="R18" s="34">
        <f>SUM(R15:R17)</f>
        <v>885328</v>
      </c>
      <c r="S18" s="24"/>
      <c r="T18" s="34">
        <f>SUM(T15:T17)</f>
        <v>835254</v>
      </c>
      <c r="U18" s="24"/>
      <c r="V18" s="34">
        <f>SUM(V15:V17)</f>
        <v>812579</v>
      </c>
      <c r="W18" s="24"/>
      <c r="X18" s="34">
        <f>SUM(X15:X17)</f>
        <v>912655</v>
      </c>
      <c r="Y18" s="24"/>
      <c r="Z18" s="34">
        <f>SUM(Z15:Z17)</f>
        <v>761568</v>
      </c>
      <c r="AA18" s="24"/>
      <c r="AB18" s="34">
        <f>SUM(AB15:AB17)</f>
        <v>885250</v>
      </c>
      <c r="AC18" s="24"/>
      <c r="AD18" s="34">
        <f>SUM(AD15:AD17)</f>
        <v>824565</v>
      </c>
      <c r="AE18" s="24"/>
      <c r="AF18" s="34">
        <f>SUM(AF15:AF17)</f>
        <v>738557</v>
      </c>
      <c r="AG18" s="24"/>
      <c r="AH18" s="34">
        <f>SUM(AH15:AH17)</f>
        <v>859981</v>
      </c>
      <c r="AI18" s="24"/>
      <c r="AJ18" s="34">
        <f>SUM(AJ15:AJ17)</f>
        <v>1064143</v>
      </c>
      <c r="AK18" s="24"/>
      <c r="AL18" s="34">
        <f>SUM(AL15:AL17)</f>
        <v>787041</v>
      </c>
      <c r="AM18" s="24"/>
      <c r="AN18" s="34">
        <f>SUM(AN15:AN17)</f>
        <v>955559</v>
      </c>
      <c r="AO18" s="24"/>
      <c r="AP18" s="34">
        <f>SUM(AP15:AP17)</f>
        <v>928006</v>
      </c>
      <c r="AQ18" s="24"/>
      <c r="AR18" s="34">
        <f>SUM(AR15:AR17)</f>
        <v>1066544</v>
      </c>
      <c r="AS18" s="24"/>
      <c r="AT18" s="34">
        <f>SUM(AT15:AT17)</f>
        <v>1111000</v>
      </c>
      <c r="AU18" s="24"/>
      <c r="AV18" s="34">
        <f>SUM(AV15:AV17)</f>
        <v>1664550</v>
      </c>
      <c r="AW18" s="24"/>
      <c r="AX18" s="34">
        <f>SUM(AX15:AX17)</f>
        <v>1107829</v>
      </c>
      <c r="AY18" s="24"/>
      <c r="AZ18" s="34">
        <f>SUM(AZ15:AZ17)</f>
        <v>1144103</v>
      </c>
      <c r="BA18" s="24"/>
      <c r="BB18" s="34">
        <f>SUM(BB15:BB17)</f>
        <v>933769</v>
      </c>
      <c r="BC18" s="24"/>
      <c r="BD18" s="34">
        <f>SUM(BD15:BD17)</f>
        <v>1691453</v>
      </c>
      <c r="BE18" s="24"/>
      <c r="BF18" s="34">
        <f>SUM(BF15:BF17)</f>
        <v>1198614</v>
      </c>
      <c r="BG18" s="24"/>
      <c r="BH18" s="46">
        <f>SUM(BH15:BH17)</f>
        <v>1346058</v>
      </c>
      <c r="BI18" s="24"/>
      <c r="BJ18" s="34">
        <f>SUM(BJ15:BJ17)</f>
        <v>1259391</v>
      </c>
      <c r="BK18" s="24"/>
      <c r="BL18" s="34">
        <f>SUM(BL15:BL17)</f>
        <v>1794094</v>
      </c>
      <c r="BM18" s="24"/>
      <c r="BN18" s="34">
        <f>SUM(BN15:BN17)</f>
        <v>1517274</v>
      </c>
      <c r="BO18" s="24"/>
    </row>
    <row r="19" spans="1:67">
      <c r="A19" s="54"/>
      <c r="B19" s="35"/>
      <c r="C19" s="23"/>
      <c r="D19" s="35"/>
      <c r="E19" s="23"/>
      <c r="F19" s="35"/>
      <c r="G19" s="23"/>
      <c r="H19" s="35"/>
      <c r="I19" s="23"/>
      <c r="J19" s="35"/>
      <c r="K19" s="23"/>
      <c r="L19" s="35"/>
      <c r="M19" s="23"/>
      <c r="N19" s="35"/>
      <c r="O19" s="23"/>
      <c r="P19" s="35"/>
      <c r="Q19" s="23"/>
      <c r="R19" s="35"/>
      <c r="S19" s="23"/>
      <c r="T19" s="35"/>
      <c r="U19" s="23"/>
      <c r="V19" s="35"/>
      <c r="W19" s="23"/>
      <c r="X19" s="35"/>
      <c r="Y19" s="23"/>
      <c r="Z19" s="35"/>
      <c r="AA19" s="23"/>
      <c r="AB19" s="35"/>
      <c r="AC19" s="23"/>
      <c r="AD19" s="35"/>
      <c r="AE19" s="23"/>
      <c r="AF19" s="35"/>
      <c r="AG19" s="23"/>
      <c r="AH19" s="35"/>
      <c r="AI19" s="23"/>
      <c r="AJ19" s="35"/>
      <c r="AK19" s="23"/>
      <c r="AL19" s="35"/>
      <c r="AM19" s="23"/>
      <c r="AN19" s="35"/>
      <c r="AO19" s="23"/>
      <c r="AP19" s="35"/>
      <c r="AQ19" s="23"/>
      <c r="AR19" s="35"/>
      <c r="AS19" s="23"/>
      <c r="AT19" s="35"/>
      <c r="AU19" s="23"/>
      <c r="AV19" s="35"/>
      <c r="AW19" s="23"/>
      <c r="AX19" s="35"/>
      <c r="AY19" s="23"/>
      <c r="AZ19" s="35"/>
      <c r="BA19" s="23"/>
      <c r="BB19" s="35"/>
      <c r="BC19" s="23"/>
      <c r="BD19" s="35"/>
      <c r="BE19" s="23"/>
      <c r="BF19" s="35"/>
      <c r="BG19" s="23"/>
      <c r="BH19" s="35"/>
      <c r="BI19" s="23"/>
      <c r="BJ19" s="30"/>
      <c r="BK19" s="23"/>
      <c r="BL19" s="30"/>
      <c r="BM19" s="23"/>
      <c r="BN19" s="30"/>
      <c r="BO19" s="23"/>
    </row>
    <row r="20" spans="1:67">
      <c r="A20" s="54" t="s">
        <v>200</v>
      </c>
      <c r="B20" s="23">
        <v>3295288</v>
      </c>
      <c r="C20" s="23"/>
      <c r="D20" s="23">
        <v>3332546</v>
      </c>
      <c r="E20" s="23"/>
      <c r="F20" s="23">
        <v>3407784</v>
      </c>
      <c r="G20" s="23"/>
      <c r="H20" s="23">
        <v>3465846</v>
      </c>
      <c r="I20" s="23"/>
      <c r="J20" s="23">
        <v>3588206</v>
      </c>
      <c r="K20" s="23"/>
      <c r="L20" s="23">
        <v>3064906</v>
      </c>
      <c r="M20" s="23"/>
      <c r="N20" s="23"/>
      <c r="O20" s="23"/>
      <c r="P20" s="23"/>
      <c r="Q20" s="23"/>
      <c r="R20" s="23">
        <v>4307317</v>
      </c>
      <c r="S20" s="23"/>
      <c r="T20" s="23">
        <v>4395439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99"/>
      <c r="BK20" s="23"/>
      <c r="BL20" s="99"/>
      <c r="BM20" s="23"/>
      <c r="BN20" s="99"/>
      <c r="BO20" s="23"/>
    </row>
    <row r="21" spans="1:67">
      <c r="A21" s="54" t="s">
        <v>201</v>
      </c>
      <c r="B21" s="23">
        <v>1127</v>
      </c>
      <c r="C21" s="23"/>
      <c r="D21" s="23">
        <v>2189</v>
      </c>
      <c r="E21" s="23"/>
      <c r="F21" s="23">
        <v>3340</v>
      </c>
      <c r="G21" s="23"/>
      <c r="H21" s="23">
        <v>3174</v>
      </c>
      <c r="I21" s="23"/>
      <c r="J21" s="23">
        <v>1075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99"/>
      <c r="BK21" s="23"/>
      <c r="BL21" s="99"/>
      <c r="BM21" s="23"/>
      <c r="BN21" s="99"/>
      <c r="BO21" s="23"/>
    </row>
    <row r="22" spans="1:67" s="13" customFormat="1" ht="16.5">
      <c r="A22" s="55" t="s">
        <v>32</v>
      </c>
      <c r="B22" s="34">
        <f>B20+B21</f>
        <v>3296415</v>
      </c>
      <c r="C22" s="24"/>
      <c r="D22" s="34">
        <f>D20+D21</f>
        <v>3334735</v>
      </c>
      <c r="E22" s="24"/>
      <c r="F22" s="34">
        <f>F20+F21</f>
        <v>3411124</v>
      </c>
      <c r="G22" s="24"/>
      <c r="H22" s="34">
        <f>H20+H21</f>
        <v>3469020</v>
      </c>
      <c r="I22" s="24"/>
      <c r="J22" s="34">
        <f>J20+J21</f>
        <v>3589281</v>
      </c>
      <c r="K22" s="24"/>
      <c r="L22" s="34">
        <v>3640906</v>
      </c>
      <c r="M22" s="24"/>
      <c r="N22" s="36">
        <v>3921609</v>
      </c>
      <c r="O22" s="24"/>
      <c r="P22" s="36">
        <v>4128767</v>
      </c>
      <c r="Q22" s="24"/>
      <c r="R22" s="46">
        <v>4307317</v>
      </c>
      <c r="S22" s="24"/>
      <c r="T22" s="34">
        <v>4395439</v>
      </c>
      <c r="U22" s="24"/>
      <c r="V22" s="36">
        <v>4547581</v>
      </c>
      <c r="W22" s="24"/>
      <c r="X22" s="36">
        <v>4633555</v>
      </c>
      <c r="Y22" s="24"/>
      <c r="Z22" s="36">
        <v>4757152</v>
      </c>
      <c r="AA22" s="24"/>
      <c r="AB22" s="36">
        <v>4892025</v>
      </c>
      <c r="AC22" s="24"/>
      <c r="AD22" s="36">
        <v>5262574</v>
      </c>
      <c r="AE22" s="24"/>
      <c r="AF22" s="36">
        <v>5407599</v>
      </c>
      <c r="AG22" s="24"/>
      <c r="AH22" s="36">
        <v>5498485</v>
      </c>
      <c r="AI22" s="24"/>
      <c r="AJ22" s="36">
        <v>5517918</v>
      </c>
      <c r="AK22" s="24"/>
      <c r="AL22" s="36">
        <v>5469114</v>
      </c>
      <c r="AM22" s="24"/>
      <c r="AN22" s="36">
        <v>5444075</v>
      </c>
      <c r="AO22" s="24"/>
      <c r="AP22" s="36">
        <v>5793086</v>
      </c>
      <c r="AQ22" s="24"/>
      <c r="AR22" s="36">
        <v>5774021</v>
      </c>
      <c r="AS22" s="24"/>
      <c r="AT22" s="36">
        <v>5701946</v>
      </c>
      <c r="AU22" s="24"/>
      <c r="AV22" s="36">
        <v>5549252</v>
      </c>
      <c r="AW22" s="24"/>
      <c r="AX22" s="36">
        <v>6195362</v>
      </c>
      <c r="AY22" s="24"/>
      <c r="AZ22" s="36">
        <v>6094675</v>
      </c>
      <c r="BA22" s="24"/>
      <c r="BB22" s="36">
        <v>5999616</v>
      </c>
      <c r="BC22" s="24"/>
      <c r="BD22" s="36">
        <v>6032141</v>
      </c>
      <c r="BE22" s="24"/>
      <c r="BF22" s="36">
        <v>5689700</v>
      </c>
      <c r="BG22" s="24"/>
      <c r="BH22" s="36">
        <v>5712517</v>
      </c>
      <c r="BI22" s="24"/>
      <c r="BJ22" s="42">
        <v>5606958</v>
      </c>
      <c r="BK22" s="24"/>
      <c r="BL22" s="42">
        <v>5412912</v>
      </c>
      <c r="BM22" s="24"/>
      <c r="BN22" s="42">
        <v>5722167</v>
      </c>
      <c r="BO22" s="24"/>
    </row>
    <row r="23" spans="1:67">
      <c r="A23" s="54"/>
      <c r="B23" s="35"/>
      <c r="C23" s="23"/>
      <c r="D23" s="35"/>
      <c r="E23" s="23"/>
      <c r="F23" s="35"/>
      <c r="G23" s="23"/>
      <c r="H23" s="35"/>
      <c r="I23" s="23"/>
      <c r="J23" s="35"/>
      <c r="K23" s="23"/>
      <c r="L23" s="35"/>
      <c r="M23" s="23"/>
      <c r="N23" s="35"/>
      <c r="O23" s="23"/>
      <c r="P23" s="35"/>
      <c r="Q23" s="23"/>
      <c r="R23" s="35"/>
      <c r="S23" s="23"/>
      <c r="T23" s="35"/>
      <c r="U23" s="23"/>
      <c r="V23" s="35"/>
      <c r="W23" s="23"/>
      <c r="X23" s="35"/>
      <c r="Y23" s="23"/>
      <c r="Z23" s="35"/>
      <c r="AA23" s="23"/>
      <c r="AB23" s="35"/>
      <c r="AC23" s="23"/>
      <c r="AD23" s="35"/>
      <c r="AE23" s="23"/>
      <c r="AF23" s="35"/>
      <c r="AG23" s="23"/>
      <c r="AH23" s="35"/>
      <c r="AI23" s="23"/>
      <c r="AJ23" s="35"/>
      <c r="AK23" s="23"/>
      <c r="AL23" s="35"/>
      <c r="AM23" s="23"/>
      <c r="AN23" s="35"/>
      <c r="AO23" s="23"/>
      <c r="AP23" s="35"/>
      <c r="AQ23" s="23"/>
      <c r="AR23" s="35"/>
      <c r="AS23" s="23"/>
      <c r="AT23" s="35"/>
      <c r="AU23" s="23"/>
      <c r="AV23" s="35"/>
      <c r="AW23" s="23"/>
      <c r="AX23" s="35"/>
      <c r="AY23" s="23"/>
      <c r="AZ23" s="35"/>
      <c r="BA23" s="23"/>
      <c r="BB23" s="35"/>
      <c r="BC23" s="23"/>
      <c r="BD23" s="35"/>
      <c r="BE23" s="23"/>
      <c r="BF23" s="35"/>
      <c r="BG23" s="23"/>
      <c r="BH23" s="35"/>
      <c r="BI23" s="23"/>
      <c r="BJ23" s="30"/>
      <c r="BK23" s="23"/>
      <c r="BL23" s="30"/>
      <c r="BM23" s="23"/>
      <c r="BN23" s="30"/>
      <c r="BO23" s="23"/>
    </row>
    <row r="24" spans="1:67" ht="16.5">
      <c r="A24" s="55" t="s">
        <v>33</v>
      </c>
      <c r="B24" s="37"/>
      <c r="D24" s="37"/>
      <c r="F24" s="37"/>
      <c r="H24" s="37"/>
      <c r="J24" s="37"/>
      <c r="L24" s="37"/>
      <c r="N24" s="37"/>
      <c r="P24" s="37"/>
      <c r="R24" s="37"/>
      <c r="T24" s="37"/>
      <c r="V24" s="37"/>
      <c r="X24" s="37"/>
      <c r="Z24" s="37"/>
      <c r="AB24" s="37"/>
      <c r="AD24" s="37"/>
      <c r="AF24" s="37"/>
      <c r="AH24" s="37"/>
      <c r="AJ24" s="37"/>
      <c r="AL24" s="37"/>
      <c r="AN24" s="37"/>
      <c r="AP24" s="37"/>
      <c r="AR24" s="37"/>
      <c r="AT24" s="37"/>
      <c r="AV24" s="37"/>
      <c r="AX24" s="37"/>
      <c r="AZ24" s="37"/>
      <c r="BB24" s="37"/>
      <c r="BD24" s="37"/>
      <c r="BF24" s="37"/>
      <c r="BH24" s="37"/>
      <c r="BJ24" s="43"/>
      <c r="BL24" s="43"/>
      <c r="BN24" s="43"/>
    </row>
    <row r="25" spans="1:67">
      <c r="A25" s="54" t="s">
        <v>181</v>
      </c>
      <c r="B25" s="38">
        <f>B34</f>
        <v>36.278417191070346</v>
      </c>
      <c r="D25" s="38">
        <f>D34</f>
        <v>42.000688481180248</v>
      </c>
      <c r="F25" s="38">
        <f>F34</f>
        <v>42.394666896012254</v>
      </c>
      <c r="H25" s="38">
        <f>H34</f>
        <v>34.99130390061601</v>
      </c>
      <c r="J25" s="38">
        <f>J34</f>
        <v>30.401625569595708</v>
      </c>
      <c r="L25" s="38">
        <f>L34</f>
        <v>36.166714869495095</v>
      </c>
      <c r="N25" s="38">
        <f>N34</f>
        <v>34.452487248689202</v>
      </c>
      <c r="P25" s="38">
        <f>P34</f>
        <v>30.44428027367351</v>
      </c>
      <c r="R25" s="38">
        <f>R34</f>
        <v>34.123738984230059</v>
      </c>
      <c r="T25" s="38">
        <f>T34</f>
        <v>37.60320379551149</v>
      </c>
      <c r="V25" s="38">
        <f>V34</f>
        <v>27.298454975883061</v>
      </c>
      <c r="X25" s="38">
        <f>X34</f>
        <v>25.821646737934394</v>
      </c>
      <c r="Z25" s="38">
        <f>Z34</f>
        <v>30.491550523340369</v>
      </c>
      <c r="AB25" s="38">
        <f>AB34</f>
        <v>24.080828003569479</v>
      </c>
      <c r="AD25" s="38">
        <f>AD34</f>
        <v>22.312422791407514</v>
      </c>
      <c r="AF25" s="38">
        <f>AF34</f>
        <v>23.189700578808164</v>
      </c>
      <c r="AH25" s="38">
        <f>AH34</f>
        <v>22.290984541669044</v>
      </c>
      <c r="AJ25" s="38">
        <f>AJ34</f>
        <v>20.140062003334211</v>
      </c>
      <c r="AL25" s="38">
        <f>AL34</f>
        <v>18.327496298474237</v>
      </c>
      <c r="AN25" s="38">
        <f>AN34</f>
        <v>22.590349058824422</v>
      </c>
      <c r="AP25" s="38">
        <f>AP34</f>
        <v>16.616898746002263</v>
      </c>
      <c r="AR25" s="38">
        <f>AR34</f>
        <v>18.299764344580591</v>
      </c>
      <c r="AT25" s="38">
        <f>AT34</f>
        <v>15.731708016019143</v>
      </c>
      <c r="AV25" s="38">
        <f>AV34</f>
        <v>19.131978385076067</v>
      </c>
      <c r="AX25" s="38">
        <f>AX34</f>
        <v>33.616932754528307</v>
      </c>
      <c r="AZ25" s="38">
        <f>AZ34</f>
        <v>39.082731074227219</v>
      </c>
      <c r="BA25" s="38"/>
      <c r="BB25" s="38">
        <f t="shared" ref="BB25:BN25" si="0">BB34</f>
        <v>37.175505593143335</v>
      </c>
      <c r="BC25" s="38"/>
      <c r="BD25" s="38">
        <f t="shared" si="0"/>
        <v>34.582520836321414</v>
      </c>
      <c r="BE25" s="38"/>
      <c r="BF25" s="38">
        <f t="shared" si="0"/>
        <v>50.586099856114103</v>
      </c>
      <c r="BG25" s="76"/>
      <c r="BH25" s="76">
        <f t="shared" si="0"/>
        <v>49.209240890645518</v>
      </c>
      <c r="BI25" s="38"/>
      <c r="BJ25" s="38">
        <f t="shared" si="0"/>
        <v>41.125500228325073</v>
      </c>
      <c r="BK25" s="38"/>
      <c r="BL25" s="38">
        <f t="shared" si="0"/>
        <v>38.54564717690721</v>
      </c>
      <c r="BM25" s="38"/>
      <c r="BN25" s="38">
        <f t="shared" si="0"/>
        <v>39.067829513110084</v>
      </c>
      <c r="BO25" s="48"/>
    </row>
    <row r="26" spans="1:67">
      <c r="A26" s="54" t="s">
        <v>182</v>
      </c>
      <c r="B26" s="38">
        <f>B41</f>
        <v>67.723144511093395</v>
      </c>
      <c r="D26" s="38">
        <f>D41</f>
        <v>60.940536196476792</v>
      </c>
      <c r="F26" s="38">
        <f>F41</f>
        <v>73.685178728435872</v>
      </c>
      <c r="H26" s="38">
        <f>H41</f>
        <v>72.999446097704023</v>
      </c>
      <c r="J26" s="38">
        <f>J41</f>
        <v>73.596651191360891</v>
      </c>
      <c r="L26" s="38">
        <f>L41</f>
        <v>61.069398492659317</v>
      </c>
      <c r="N26" s="38">
        <f>N41</f>
        <v>88.155812261544085</v>
      </c>
      <c r="P26" s="38">
        <f>P41</f>
        <v>145.21652168748557</v>
      </c>
      <c r="R26" s="38">
        <f>R41</f>
        <v>164.01775427993351</v>
      </c>
      <c r="T26" s="38">
        <f>T41</f>
        <v>122.65980674591394</v>
      </c>
      <c r="V26" s="38">
        <f>V41</f>
        <v>96.887554844114149</v>
      </c>
      <c r="X26" s="38">
        <f>X41</f>
        <v>82.835226408947776</v>
      </c>
      <c r="Z26" s="38">
        <f>Z41</f>
        <v>93.786179173047472</v>
      </c>
      <c r="AB26" s="38">
        <f>AB41</f>
        <v>99.078593832559505</v>
      </c>
      <c r="AD26" s="38">
        <f>AD41</f>
        <v>108.790634234156</v>
      </c>
      <c r="AF26" s="38">
        <f>AF41</f>
        <v>110.12059994489324</v>
      </c>
      <c r="AH26" s="38">
        <f>AH41</f>
        <v>78.5985715217533</v>
      </c>
      <c r="AJ26" s="38">
        <f>AJ41</f>
        <v>57.663450439884507</v>
      </c>
      <c r="AL26" s="38">
        <f>AL41</f>
        <v>72.475018502444158</v>
      </c>
      <c r="AN26" s="38">
        <f>AN41</f>
        <v>111.2589239889617</v>
      </c>
      <c r="AP26" s="38">
        <f>AP41</f>
        <v>84.733007602482587</v>
      </c>
      <c r="AR26" s="38">
        <f>AR41</f>
        <v>68.516941168921704</v>
      </c>
      <c r="AT26" s="38">
        <f>AT41</f>
        <v>61.672830055352733</v>
      </c>
      <c r="AV26" s="38">
        <f>AV41</f>
        <v>83.084539576127355</v>
      </c>
      <c r="AX26" s="38">
        <f>AX41</f>
        <v>65.805287105629304</v>
      </c>
      <c r="AZ26" s="38">
        <f>AZ41</f>
        <v>58.255029273759092</v>
      </c>
      <c r="BA26" s="38"/>
      <c r="BB26" s="38">
        <f t="shared" ref="BB26:BH26" si="1">BB41</f>
        <v>75.171943356940005</v>
      </c>
      <c r="BC26" s="38"/>
      <c r="BD26" s="38">
        <f t="shared" si="1"/>
        <v>91.654103797751162</v>
      </c>
      <c r="BE26" s="38"/>
      <c r="BF26" s="38">
        <f t="shared" si="1"/>
        <v>95.023961070395018</v>
      </c>
      <c r="BG26" s="76"/>
      <c r="BH26" s="76">
        <f t="shared" si="1"/>
        <v>61.838155750361565</v>
      </c>
      <c r="BJ26" s="38">
        <f>BJ40</f>
        <v>51.80943019477013</v>
      </c>
      <c r="BK26" s="48"/>
      <c r="BL26" s="38">
        <f>BL40</f>
        <v>45.484175414189963</v>
      </c>
      <c r="BM26" s="48"/>
      <c r="BN26" s="38">
        <v>34.382757275674379</v>
      </c>
      <c r="BO26" s="48"/>
    </row>
    <row r="27" spans="1:67">
      <c r="A27" s="54" t="s">
        <v>34</v>
      </c>
      <c r="B27" s="39">
        <f>(B4+B5+B6+B7)/(B15+B16)</f>
        <v>3.9538965466573552</v>
      </c>
      <c r="D27" s="39">
        <f>(D4+D5+D6+D7)/(D15+D16)</f>
        <v>3.8214802365157468</v>
      </c>
      <c r="F27" s="39">
        <f>(F4+F5+F6+F7)/(F15+F16)</f>
        <v>3.7796448017452566</v>
      </c>
      <c r="H27" s="39">
        <f>(H4+H5+H6+H7)/(H15+H16)</f>
        <v>3.843835988005003</v>
      </c>
      <c r="J27" s="39">
        <f>(J4+J5+J6+J7)/(J15+J16)</f>
        <v>3.5032800925425138</v>
      </c>
      <c r="L27" s="39">
        <f>(L4+L5+L6+L7)/(L15+L16)</f>
        <v>3.7502671239894418</v>
      </c>
      <c r="N27" s="39">
        <f>(N4+N5+N6+N7)/(N15+N16)</f>
        <v>4.9946723568919147</v>
      </c>
      <c r="P27" s="39">
        <f>(P4+P5+P6+P7)/(P15+P16)</f>
        <v>6.114328579695842</v>
      </c>
      <c r="R27" s="39">
        <f>(R4+R5+R6+R7)/(R15+R16)</f>
        <v>4.4741200140619117</v>
      </c>
      <c r="T27" s="39">
        <f>(T4+T5+T6+T7)/(T15+T16)</f>
        <v>4.8773874414173024</v>
      </c>
      <c r="V27" s="39">
        <f>(V4+V5+V6+V7)/(V15+V16)</f>
        <v>5.3044376548451764</v>
      </c>
      <c r="X27" s="39">
        <f>(X4+X5+X6+X7)/(X15+X16)</f>
        <v>4.9215298259812945</v>
      </c>
      <c r="Z27" s="39">
        <f>(Z4+Z5+Z6+Z7)/(Z15+Z16)</f>
        <v>5.9179285795382448</v>
      </c>
      <c r="AB27" s="39">
        <f>(AB4+AB5+AB6+AB7)/(AB15+AB16)</f>
        <v>5.3934665246696722</v>
      </c>
      <c r="AD27" s="39">
        <f>(AD4+AD5+AD6+AD7)/(AD15+AD16)</f>
        <v>5.781797358363729</v>
      </c>
      <c r="AF27" s="39">
        <f>(AF4+AF5+AF6+AF7)/(AF15+AF16)</f>
        <v>6.734457391457962</v>
      </c>
      <c r="AH27" s="39">
        <f>(AH4+AH5+AH6+AH7)/(AH15+AH16)</f>
        <v>6.0001194032730973</v>
      </c>
      <c r="AJ27" s="39">
        <f>(AJ4+AJ5+AJ6+AJ7)/(AJ15+AJ16)</f>
        <v>5.0016682865971305</v>
      </c>
      <c r="AL27" s="39">
        <f>(AL4+AL5+AL6+AL7)/(AL15+AL16)</f>
        <v>6.4443557494386852</v>
      </c>
      <c r="AN27" s="39">
        <f>(AN4+AN5+AN6+AN7)/(AN15+AN16)</f>
        <v>5.3506981728437824</v>
      </c>
      <c r="AP27" s="39">
        <f>(AP4+AP5+AP6+AP7)/(AP15+AP16)</f>
        <v>5.8826868082935411</v>
      </c>
      <c r="AR27" s="39">
        <f>(AR4+AR5+AR6+AR7)/(AR15+AR16)</f>
        <v>5.2142611779153762</v>
      </c>
      <c r="AT27" s="39">
        <f>(AT4+AT5+AT6+AT7)/(AT15+AT16)</f>
        <v>5.0691410311495018</v>
      </c>
      <c r="AV27" s="39">
        <f>(AV4+AV5+AV6+AV7)/(AV15+AV16)</f>
        <v>3.544053088496641</v>
      </c>
      <c r="AX27" s="39">
        <f>(AX4+AX5+AX6+AX7)/(AX15+AX16)</f>
        <v>5.3427667988471148</v>
      </c>
      <c r="AZ27" s="39">
        <f>AZ43</f>
        <v>5.1804729240202292</v>
      </c>
      <c r="BB27" s="39">
        <f>(BB4+BB5+BB6+BB7)/(BB15+BB16)</f>
        <v>6.0825881690845423</v>
      </c>
      <c r="BD27" s="39">
        <f>(BD4+BD5+BD6+BD7)/(BD15+BD16)</f>
        <v>3.754608308186647</v>
      </c>
      <c r="BF27" s="39">
        <f>(BF4+BF5+BF6+BF7)/(BF15+BF16)</f>
        <v>4.5951395448690429</v>
      </c>
      <c r="BH27" s="47">
        <v>3.6539661405728237</v>
      </c>
      <c r="BJ27" s="39">
        <f>(BJ4+BJ5+BJ6+BJ7)/(BJ15+BJ16)</f>
        <v>4.0379766961001442</v>
      </c>
      <c r="BK27" s="49"/>
      <c r="BL27" s="39">
        <f>(BL4+BL5+BL6+BL7)/(BL15+BL16)</f>
        <v>3.0304275952100919</v>
      </c>
      <c r="BM27" s="49"/>
      <c r="BN27" s="39">
        <v>3.583401413868303</v>
      </c>
      <c r="BO27" s="49"/>
    </row>
    <row r="29" spans="1:67" hidden="1">
      <c r="A29" s="20" t="s">
        <v>183</v>
      </c>
      <c r="B29" s="40">
        <v>498026</v>
      </c>
      <c r="D29" s="40">
        <v>528700</v>
      </c>
      <c r="F29" s="40">
        <v>488346</v>
      </c>
      <c r="H29" s="40">
        <v>437495</v>
      </c>
      <c r="J29" s="40">
        <v>556974</v>
      </c>
      <c r="L29" s="40">
        <v>587794</v>
      </c>
      <c r="N29" s="40">
        <v>672872</v>
      </c>
      <c r="P29" s="40">
        <v>599985</v>
      </c>
      <c r="R29" s="40">
        <v>551936</v>
      </c>
      <c r="T29" s="40">
        <v>675324</v>
      </c>
      <c r="V29" s="40">
        <v>857074</v>
      </c>
      <c r="X29" s="40">
        <v>899706</v>
      </c>
      <c r="Z29" s="40">
        <v>754958</v>
      </c>
      <c r="AB29" s="40">
        <v>831494</v>
      </c>
      <c r="AD29" s="40">
        <v>790877</v>
      </c>
      <c r="AF29" s="40">
        <v>796637</v>
      </c>
      <c r="AH29" s="40">
        <v>981736</v>
      </c>
      <c r="AJ29" s="40">
        <v>1110908</v>
      </c>
      <c r="AL29" s="40">
        <v>952310</v>
      </c>
      <c r="AN29" s="40">
        <v>658485</v>
      </c>
      <c r="AP29" s="40">
        <v>909890</v>
      </c>
      <c r="AR29" s="40">
        <v>1126645</v>
      </c>
      <c r="AT29" s="40">
        <v>1395830</v>
      </c>
      <c r="AV29" s="40">
        <v>1016890</v>
      </c>
      <c r="AX29" s="40">
        <v>1108030</v>
      </c>
      <c r="AZ29" s="40">
        <f>季度簡明合併損益表!AZ3</f>
        <v>1280595</v>
      </c>
      <c r="BB29" s="40">
        <v>1058707</v>
      </c>
      <c r="BD29" s="40">
        <v>955183</v>
      </c>
      <c r="BF29" s="40">
        <v>861099</v>
      </c>
      <c r="BH29" s="40">
        <v>1184085</v>
      </c>
      <c r="BJ29" s="44">
        <v>1221942</v>
      </c>
      <c r="BK29" s="28"/>
      <c r="BL29" s="44">
        <v>1291208</v>
      </c>
      <c r="BM29" s="28"/>
      <c r="BN29" s="44">
        <v>1425353</v>
      </c>
      <c r="BO29" s="28"/>
    </row>
    <row r="30" spans="1:67" hidden="1">
      <c r="A30" s="21" t="s">
        <v>184</v>
      </c>
      <c r="B30" s="40">
        <v>197275</v>
      </c>
      <c r="D30" s="40">
        <v>238258</v>
      </c>
      <c r="F30" s="40">
        <v>300389</v>
      </c>
      <c r="H30" s="40">
        <v>203659</v>
      </c>
      <c r="J30" s="40">
        <v>181269</v>
      </c>
      <c r="L30" s="40">
        <v>249552</v>
      </c>
      <c r="N30" s="40">
        <v>243458</v>
      </c>
      <c r="P30" s="40">
        <v>264166</v>
      </c>
      <c r="R30" s="40">
        <f>137313+14</f>
        <v>137327</v>
      </c>
      <c r="T30" s="40">
        <v>281223</v>
      </c>
      <c r="V30" s="40">
        <v>270828</v>
      </c>
      <c r="X30" s="40">
        <v>240685</v>
      </c>
      <c r="Z30" s="40">
        <v>275981</v>
      </c>
      <c r="AB30" s="40">
        <v>241627</v>
      </c>
      <c r="AD30" s="40">
        <v>210666</v>
      </c>
      <c r="AF30" s="40">
        <v>201292</v>
      </c>
      <c r="AH30" s="40">
        <v>221960</v>
      </c>
      <c r="AJ30" s="40">
        <v>265059</v>
      </c>
      <c r="AL30" s="40">
        <v>227414</v>
      </c>
      <c r="AN30" s="40">
        <v>158088</v>
      </c>
      <c r="AP30" s="40">
        <v>174977</v>
      </c>
      <c r="AR30" s="40">
        <v>167238</v>
      </c>
      <c r="AT30" s="40">
        <f>287475</f>
        <v>287475</v>
      </c>
      <c r="AV30" s="40">
        <f>193296+3688</f>
        <v>196984</v>
      </c>
      <c r="AX30" s="40">
        <v>238069</v>
      </c>
      <c r="AZ30" s="40">
        <v>596288</v>
      </c>
      <c r="BB30" s="40">
        <v>501178</v>
      </c>
      <c r="BD30" s="40">
        <v>361040</v>
      </c>
      <c r="BF30" s="40">
        <v>364952</v>
      </c>
      <c r="BH30" s="40">
        <v>603040</v>
      </c>
      <c r="BJ30" s="44">
        <v>663654</v>
      </c>
      <c r="BK30" s="28"/>
      <c r="BL30" s="44">
        <v>428802</v>
      </c>
      <c r="BM30" s="28"/>
      <c r="BN30" s="44">
        <f>BN5</f>
        <v>665054</v>
      </c>
      <c r="BO30" s="28"/>
    </row>
    <row r="31" spans="1:67" hidden="1">
      <c r="A31" s="21" t="s">
        <v>185</v>
      </c>
      <c r="B31" s="40">
        <v>181939</v>
      </c>
      <c r="D31" s="40">
        <v>215151</v>
      </c>
      <c r="F31" s="40">
        <v>267583</v>
      </c>
      <c r="H31" s="40">
        <v>182488</v>
      </c>
      <c r="J31" s="40">
        <v>153963</v>
      </c>
      <c r="L31" s="40">
        <v>222324</v>
      </c>
      <c r="N31" s="40">
        <v>239819</v>
      </c>
      <c r="P31" s="40">
        <v>264140</v>
      </c>
      <c r="R31" s="40">
        <v>137313</v>
      </c>
      <c r="T31" s="40">
        <v>281223</v>
      </c>
      <c r="V31" s="40">
        <v>270828</v>
      </c>
      <c r="X31" s="40">
        <v>237798</v>
      </c>
      <c r="Z31" s="40">
        <v>272793</v>
      </c>
      <c r="AB31" s="40">
        <v>238759</v>
      </c>
      <c r="AD31" s="40">
        <v>196525</v>
      </c>
      <c r="AF31" s="40">
        <v>187092</v>
      </c>
      <c r="AH31" s="40">
        <v>218925</v>
      </c>
      <c r="AJ31" s="40">
        <v>262039</v>
      </c>
      <c r="AL31" s="40">
        <v>224347</v>
      </c>
      <c r="AN31" s="40">
        <v>155076</v>
      </c>
      <c r="AP31" s="40">
        <v>171856</v>
      </c>
      <c r="AR31" s="40">
        <v>164134</v>
      </c>
      <c r="AT31" s="40">
        <v>284069</v>
      </c>
      <c r="AV31" s="40">
        <v>193296</v>
      </c>
      <c r="AX31" s="40">
        <v>234289</v>
      </c>
      <c r="AZ31" s="40">
        <v>593457</v>
      </c>
      <c r="BB31" s="40">
        <v>494568</v>
      </c>
      <c r="BD31" s="40">
        <v>361040</v>
      </c>
      <c r="BF31" s="40">
        <v>364952</v>
      </c>
      <c r="BH31" s="40">
        <v>603040</v>
      </c>
      <c r="BJ31" s="44">
        <v>663654</v>
      </c>
      <c r="BK31" s="28"/>
      <c r="BL31" s="44">
        <v>428802</v>
      </c>
      <c r="BM31" s="28"/>
      <c r="BN31" s="44">
        <v>665054</v>
      </c>
      <c r="BO31" s="28"/>
    </row>
    <row r="32" spans="1:67" hidden="1">
      <c r="A32" s="20" t="s">
        <v>186</v>
      </c>
      <c r="B32" s="40">
        <f>31+29+31</f>
        <v>91</v>
      </c>
      <c r="D32" s="40">
        <f>31+30+31</f>
        <v>92</v>
      </c>
      <c r="F32" s="40">
        <f>31+31+30</f>
        <v>92</v>
      </c>
      <c r="H32" s="40">
        <f>30+31+30</f>
        <v>91</v>
      </c>
      <c r="J32" s="40">
        <f>31+28+31</f>
        <v>90</v>
      </c>
      <c r="L32" s="40">
        <f>31+31+30</f>
        <v>92</v>
      </c>
      <c r="N32" s="40">
        <f>31+31+30</f>
        <v>92</v>
      </c>
      <c r="P32" s="40">
        <f>30+31+30</f>
        <v>91</v>
      </c>
      <c r="R32" s="40">
        <f>31+28+31</f>
        <v>90</v>
      </c>
      <c r="T32" s="40">
        <f>31+30+31</f>
        <v>92</v>
      </c>
      <c r="V32" s="40">
        <f>31+31+30</f>
        <v>92</v>
      </c>
      <c r="X32" s="40">
        <f>30+31+30</f>
        <v>91</v>
      </c>
      <c r="Z32" s="40">
        <f>31+28+31</f>
        <v>90</v>
      </c>
      <c r="AB32" s="40">
        <f>31+31+30</f>
        <v>92</v>
      </c>
      <c r="AD32" s="40">
        <f>31+31+30</f>
        <v>92</v>
      </c>
      <c r="AF32" s="40">
        <f>30+31+30</f>
        <v>91</v>
      </c>
      <c r="AH32" s="40">
        <f>31+29+31</f>
        <v>91</v>
      </c>
      <c r="AJ32" s="40">
        <f>31+31+30</f>
        <v>92</v>
      </c>
      <c r="AL32" s="40">
        <f>31+31+30</f>
        <v>92</v>
      </c>
      <c r="AN32" s="40">
        <f>30+31+30</f>
        <v>91</v>
      </c>
      <c r="AP32" s="40">
        <f>31+28+31</f>
        <v>90</v>
      </c>
      <c r="AR32" s="40">
        <f>31+31+30</f>
        <v>92</v>
      </c>
      <c r="AT32" s="40">
        <f>31+31+30</f>
        <v>92</v>
      </c>
      <c r="AV32" s="40">
        <f>30+31+30</f>
        <v>91</v>
      </c>
      <c r="AX32" s="40">
        <f>31+28+31</f>
        <v>90</v>
      </c>
      <c r="AZ32" s="40">
        <v>92</v>
      </c>
      <c r="BA32" s="40"/>
      <c r="BB32" s="40">
        <v>92</v>
      </c>
      <c r="BD32" s="40">
        <v>91</v>
      </c>
      <c r="BF32" s="40">
        <f>31+28+31</f>
        <v>90</v>
      </c>
      <c r="BH32" s="40">
        <v>92</v>
      </c>
      <c r="BJ32" s="40">
        <v>92</v>
      </c>
      <c r="BK32" s="28"/>
      <c r="BL32" s="44">
        <v>91</v>
      </c>
      <c r="BM32" s="28"/>
      <c r="BN32" s="44">
        <f>31+29+31</f>
        <v>91</v>
      </c>
      <c r="BO32" s="28"/>
    </row>
    <row r="33" spans="1:67" hidden="1">
      <c r="A33" s="20" t="s">
        <v>187</v>
      </c>
      <c r="B33" s="40">
        <f>B32/(B29/((B30+D30)/2))</f>
        <v>39.790596274090106</v>
      </c>
      <c r="D33" s="40">
        <f>D32/(D29/((D30+F30)/2))</f>
        <v>46.865447323623982</v>
      </c>
      <c r="F33" s="40">
        <f>F32/(F29/((F30+H30)/2))</f>
        <v>47.479057881092508</v>
      </c>
      <c r="H33" s="40">
        <f>H32/(H29/((H30+J30)/2))</f>
        <v>40.032969519651651</v>
      </c>
      <c r="J33" s="40">
        <f>J32/(J29/((J30+L30)/2))</f>
        <v>34.807630158678862</v>
      </c>
      <c r="L33" s="40">
        <f>L32/(L29/((L30+N30)/2))</f>
        <v>38.582326461311276</v>
      </c>
      <c r="N33" s="40">
        <f>N32/(N29/((N30+P30)/2))</f>
        <v>34.703040102723847</v>
      </c>
      <c r="P33" s="40">
        <f>P32/(P29/((P30+R30)/2))</f>
        <v>30.447313682842072</v>
      </c>
      <c r="R33" s="40">
        <f>R32/(R29/((R30+T30)/2))</f>
        <v>34.124880420918366</v>
      </c>
      <c r="T33" s="40">
        <f>T32/(T29/((T30+V30)/2))</f>
        <v>37.60320379551149</v>
      </c>
      <c r="V33" s="40">
        <f>V32/(V29/((V30+X30)/2))</f>
        <v>27.453403090048234</v>
      </c>
      <c r="X33" s="40">
        <f>X32/(X29/((X30+Z30)/2))</f>
        <v>26.128872098218753</v>
      </c>
      <c r="Z33" s="40">
        <f>Z32/(Z29/((Z30+AB30)/2))</f>
        <v>30.852524246381918</v>
      </c>
      <c r="AB33" s="40">
        <f>AB32/(AB29/((AB30+AD30)/2))</f>
        <v>25.021801720758056</v>
      </c>
      <c r="AD33" s="40">
        <f>AD32/(AD29/((AD30+AF30)/2))</f>
        <v>23.960828295676823</v>
      </c>
      <c r="AF33" s="40">
        <f>AF32/(AF29/((AF30+AH30)/2))</f>
        <v>24.174079285797671</v>
      </c>
      <c r="AH33" s="40">
        <f>AH32/(AH29/((AH30+AJ30)/2))</f>
        <v>22.571612429410759</v>
      </c>
      <c r="AJ33" s="40">
        <f>AJ32/(AJ29/((AJ30+AL30)/2))</f>
        <v>20.392109877685641</v>
      </c>
      <c r="AL33" s="40">
        <f>AL32/(AL29/((AL30+AN30)/2))</f>
        <v>18.621133874473649</v>
      </c>
      <c r="AN33" s="40">
        <f>AN32/(AN29/((AN30+AP30)/2))</f>
        <v>23.014127125143322</v>
      </c>
      <c r="AP33" s="40">
        <f>AP32/(AP29/((AP30+AR30)/2))</f>
        <v>16.924765631010342</v>
      </c>
      <c r="AR33" s="40">
        <f>AR32/(AR29/((AR30+AT30)/2))</f>
        <v>18.565562355489085</v>
      </c>
      <c r="AT33" s="40">
        <f>AT32/(AT29/((AT30+AV30)/2))</f>
        <v>15.965492932520435</v>
      </c>
      <c r="AV33" s="40">
        <f>AV32/(AV29/((AV30+AX30)/2))</f>
        <v>19.466128588146209</v>
      </c>
      <c r="AX33" s="40">
        <f>AX32/(AX29/((AX30+AZ30)/2))</f>
        <v>33.885422777361626</v>
      </c>
      <c r="AZ33" s="40">
        <f>$AZ$32/($AZ$29/((AZ30+BB30)/2))</f>
        <v>39.421859370058449</v>
      </c>
      <c r="BB33" s="40">
        <f>BB32/(BB29/((BB30+BD30)/2))</f>
        <v>37.462704978809057</v>
      </c>
      <c r="BD33" s="40">
        <f>BD32/(BD29/((BD30+BF30)/2))</f>
        <v>34.582520836321414</v>
      </c>
      <c r="BF33" s="40">
        <f>BF32/(BF29/((BF30+BH30)/2))</f>
        <v>50.586099856114103</v>
      </c>
      <c r="BH33" s="40">
        <f>BH32/(BH29/((BH30+BJ30)/2))</f>
        <v>49.209240890645518</v>
      </c>
      <c r="BJ33" s="40">
        <f>BJ32/(BJ29/((BJ30+BL30)/2))</f>
        <v>41.125500228325073</v>
      </c>
      <c r="BK33" s="28"/>
      <c r="BL33" s="44">
        <v>38.54564717690721</v>
      </c>
      <c r="BM33" s="28"/>
      <c r="BN33" s="44">
        <f>BN32/(BN29/((BN30+558802)/2))</f>
        <v>39.067829513110084</v>
      </c>
      <c r="BO33" s="28"/>
    </row>
    <row r="34" spans="1:67" hidden="1">
      <c r="A34" s="20" t="s">
        <v>188</v>
      </c>
      <c r="B34" s="40">
        <f>B32/(B29/((B31+D31)/2))</f>
        <v>36.278417191070346</v>
      </c>
      <c r="D34" s="40">
        <f>D32/(D29/((D31+F31)/2))</f>
        <v>42.000688481180248</v>
      </c>
      <c r="F34" s="40">
        <f>F32/(F29/((F31+H31)/2))</f>
        <v>42.394666896012254</v>
      </c>
      <c r="H34" s="40">
        <f>H32/(H29/((H31+J31)/2))</f>
        <v>34.99130390061601</v>
      </c>
      <c r="J34" s="40">
        <f>J32/(J29/((J31+L31)/2))</f>
        <v>30.401625569595708</v>
      </c>
      <c r="L34" s="40">
        <f>L32/(L29/((L31+N31)/2))</f>
        <v>36.166714869495095</v>
      </c>
      <c r="N34" s="40">
        <f>N32/(N29/((N31+P31)/2))</f>
        <v>34.452487248689202</v>
      </c>
      <c r="P34" s="40">
        <f>P32/(P29/((P31+R31)/2))</f>
        <v>30.44428027367351</v>
      </c>
      <c r="R34" s="40">
        <f>R32/(R29/((R31+T31)/2))</f>
        <v>34.123738984230059</v>
      </c>
      <c r="T34" s="40">
        <f>T32/(T29/((T31+V31)/2))</f>
        <v>37.60320379551149</v>
      </c>
      <c r="V34" s="40">
        <f>V32/(V29/((V31+X31)/2))</f>
        <v>27.298454975883061</v>
      </c>
      <c r="X34" s="40">
        <f>X32/(X29/((X31+Z31)/2))</f>
        <v>25.821646737934394</v>
      </c>
      <c r="Z34" s="40">
        <f>Z32/(Z29/((Z31+AB31)/2))</f>
        <v>30.491550523340369</v>
      </c>
      <c r="AB34" s="40">
        <f>AB32/(AB29/((AB31+AD31)/2))</f>
        <v>24.080828003569479</v>
      </c>
      <c r="AD34" s="40">
        <f>AD32/(AD29/((AD31+AF31)/2))</f>
        <v>22.312422791407514</v>
      </c>
      <c r="AF34" s="40">
        <f>AF32/(AF29/((AF31+AH31)/2))</f>
        <v>23.189700578808164</v>
      </c>
      <c r="AH34" s="40">
        <f>AH32/(AH29/((AH31+AJ31)/2))</f>
        <v>22.290984541669044</v>
      </c>
      <c r="AJ34" s="40">
        <f>AJ32/(AJ29/((AJ31+AL31)/2))</f>
        <v>20.140062003334211</v>
      </c>
      <c r="AL34" s="40">
        <f>AL32/(AL29/((AL31+AN31)/2))</f>
        <v>18.327496298474237</v>
      </c>
      <c r="AN34" s="40">
        <f>AN32/(AN29/((AN31+AP31)/2))</f>
        <v>22.590349058824422</v>
      </c>
      <c r="AP34" s="40">
        <f>AP32/(AP29/((AP31+AR31)/2))</f>
        <v>16.616898746002263</v>
      </c>
      <c r="AR34" s="40">
        <f>AR32/(AR29/((AR31+AT31)/2))</f>
        <v>18.299764344580591</v>
      </c>
      <c r="AT34" s="40">
        <f>AT32/(AT29/((AT31+AV31)/2))</f>
        <v>15.731708016019143</v>
      </c>
      <c r="AV34" s="40">
        <f>AV32/(AV29/((AV31+AX31)/2))</f>
        <v>19.131978385076067</v>
      </c>
      <c r="AX34" s="40">
        <f>AX32/(AX29/((AX31+AZ31)/2))</f>
        <v>33.616932754528307</v>
      </c>
      <c r="AZ34" s="40">
        <f>AZ32/(AZ29/((AZ31+BB31)/2))</f>
        <v>39.082731074227219</v>
      </c>
      <c r="BA34" s="40"/>
      <c r="BB34" s="40">
        <f>BB32/(BB29/((BB31+BD31)/2))</f>
        <v>37.175505593143335</v>
      </c>
      <c r="BC34" s="40"/>
      <c r="BD34" s="40">
        <f>BD32/(BD29/((BD31+BF31)/2))</f>
        <v>34.582520836321414</v>
      </c>
      <c r="BE34" s="40"/>
      <c r="BF34" s="40">
        <f>BF32/(BF29/((BF31+BH31)/2))</f>
        <v>50.586099856114103</v>
      </c>
      <c r="BG34" s="40"/>
      <c r="BH34" s="40">
        <f>BH32/(BH29/((BH31+BJ31)/2))</f>
        <v>49.209240890645518</v>
      </c>
      <c r="BI34" s="40"/>
      <c r="BJ34" s="40">
        <f>BJ32/(BJ29/((BJ31+BL31)/2))</f>
        <v>41.125500228325073</v>
      </c>
      <c r="BK34" s="40"/>
      <c r="BL34" s="40">
        <f>BL32/(BL29/((BL31+BN31)/2))</f>
        <v>38.54564717690721</v>
      </c>
      <c r="BM34" s="40"/>
      <c r="BN34" s="40">
        <f>BN32/(BN29/((BN31+558802)/2))</f>
        <v>39.067829513110084</v>
      </c>
      <c r="BO34" s="28"/>
    </row>
    <row r="35" spans="1:67" hidden="1">
      <c r="B35" s="40"/>
      <c r="D35" s="40"/>
      <c r="F35" s="40"/>
      <c r="H35" s="40"/>
      <c r="J35" s="40"/>
      <c r="L35" s="40"/>
      <c r="N35" s="40"/>
      <c r="P35" s="40"/>
      <c r="R35" s="40"/>
      <c r="T35" s="40"/>
      <c r="V35" s="40"/>
      <c r="X35" s="40"/>
      <c r="Z35" s="40"/>
      <c r="AB35" s="40"/>
      <c r="AD35" s="40"/>
      <c r="AF35" s="40"/>
      <c r="AH35" s="40"/>
      <c r="AJ35" s="40"/>
      <c r="AL35" s="40"/>
      <c r="AN35" s="40"/>
      <c r="AP35" s="40"/>
      <c r="AR35" s="40"/>
      <c r="AT35" s="40"/>
      <c r="AV35" s="40"/>
      <c r="AX35" s="40"/>
      <c r="AZ35" s="40"/>
      <c r="BB35" s="40"/>
      <c r="BD35" s="40"/>
      <c r="BF35" s="40"/>
      <c r="BH35" s="40"/>
      <c r="BJ35" s="44"/>
      <c r="BK35" s="28"/>
      <c r="BL35" s="44"/>
      <c r="BM35" s="28"/>
      <c r="BN35" s="44"/>
      <c r="BO35" s="28"/>
    </row>
    <row r="36" spans="1:67" hidden="1">
      <c r="A36" s="20" t="s">
        <v>0</v>
      </c>
      <c r="B36" s="40">
        <v>314917</v>
      </c>
      <c r="D36" s="40">
        <v>311080</v>
      </c>
      <c r="F36" s="40">
        <v>263864</v>
      </c>
      <c r="H36" s="40">
        <v>322259</v>
      </c>
      <c r="J36" s="40">
        <v>364667</v>
      </c>
      <c r="L36" s="40">
        <v>545862</v>
      </c>
      <c r="N36" s="40">
        <v>585538</v>
      </c>
      <c r="P36" s="40">
        <v>471447</v>
      </c>
      <c r="R36" s="40">
        <v>384527</v>
      </c>
      <c r="T36" s="40">
        <v>478334</v>
      </c>
      <c r="V36" s="40">
        <v>602845</v>
      </c>
      <c r="X36" s="40">
        <v>644630</v>
      </c>
      <c r="Z36" s="40">
        <v>548520</v>
      </c>
      <c r="AB36" s="40">
        <v>533706</v>
      </c>
      <c r="AD36" s="40">
        <v>506611</v>
      </c>
      <c r="AF36" s="40">
        <v>500846</v>
      </c>
      <c r="AH36" s="40">
        <v>613240</v>
      </c>
      <c r="AJ36" s="40">
        <v>646306</v>
      </c>
      <c r="AL36" s="40">
        <v>547225</v>
      </c>
      <c r="AN36" s="40">
        <v>403323</v>
      </c>
      <c r="AP36" s="40">
        <v>530090</v>
      </c>
      <c r="AR36" s="40">
        <v>685726</v>
      </c>
      <c r="AT36" s="40">
        <v>798154</v>
      </c>
      <c r="AV36" s="40">
        <v>542663</v>
      </c>
      <c r="AX36" s="40">
        <v>558453</v>
      </c>
      <c r="AZ36" s="40">
        <f>-季度簡明合併損益表!AZ4</f>
        <v>667492</v>
      </c>
      <c r="BB36" s="40">
        <v>617622</v>
      </c>
      <c r="BD36" s="40">
        <v>519202</v>
      </c>
      <c r="BF36" s="40">
        <v>473059</v>
      </c>
      <c r="BH36" s="40">
        <v>654098</v>
      </c>
      <c r="BJ36" s="44">
        <v>648046</v>
      </c>
      <c r="BK36" s="28"/>
      <c r="BL36" s="44">
        <v>664188</v>
      </c>
      <c r="BM36" s="28"/>
      <c r="BN36" s="44">
        <v>733231</v>
      </c>
      <c r="BO36" s="28"/>
    </row>
    <row r="37" spans="1:67" hidden="1">
      <c r="A37" s="21" t="s">
        <v>1</v>
      </c>
      <c r="B37" s="40">
        <v>598394</v>
      </c>
      <c r="D37" s="40">
        <v>567914</v>
      </c>
      <c r="F37" s="40">
        <v>618598</v>
      </c>
      <c r="H37" s="40">
        <v>700497</v>
      </c>
      <c r="J37" s="40">
        <v>740476</v>
      </c>
      <c r="L37" s="40">
        <v>741746</v>
      </c>
      <c r="N37" s="40">
        <v>776218</v>
      </c>
      <c r="P37" s="40">
        <v>915984</v>
      </c>
      <c r="R37" s="40">
        <v>970448</v>
      </c>
      <c r="T37" s="40">
        <v>752261</v>
      </c>
      <c r="V37" s="40">
        <v>827797</v>
      </c>
      <c r="X37" s="40">
        <v>718611</v>
      </c>
      <c r="Z37" s="40">
        <v>708281</v>
      </c>
      <c r="AB37" s="40">
        <v>657097</v>
      </c>
      <c r="AD37" s="40">
        <v>691653</v>
      </c>
      <c r="AF37" s="40">
        <v>691264</v>
      </c>
      <c r="AH37" s="40">
        <v>692528</v>
      </c>
      <c r="AJ37" s="40">
        <v>532962</v>
      </c>
      <c r="AL37" s="40">
        <f>362042+124978</f>
        <v>487020</v>
      </c>
      <c r="AN37" s="40">
        <v>645596</v>
      </c>
      <c r="AP37" s="40">
        <v>609515</v>
      </c>
      <c r="AR37" s="40">
        <v>643190</v>
      </c>
      <c r="AT37" s="40">
        <f>509343+126536</f>
        <v>635879</v>
      </c>
      <c r="AV37" s="40">
        <f>560753+103259</f>
        <v>664012</v>
      </c>
      <c r="AX37" s="40">
        <v>526690</v>
      </c>
      <c r="AZ37" s="40">
        <v>475640</v>
      </c>
      <c r="BB37" s="40">
        <v>586410</v>
      </c>
      <c r="BD37" s="40">
        <v>658531</v>
      </c>
      <c r="BF37" s="40">
        <v>572942</v>
      </c>
      <c r="BH37" s="40">
        <v>576040</v>
      </c>
      <c r="BJ37" s="44">
        <v>401095</v>
      </c>
      <c r="BK37" s="28"/>
      <c r="BL37" s="44">
        <v>328794</v>
      </c>
      <c r="BM37" s="28"/>
      <c r="BN37" s="44">
        <v>335163</v>
      </c>
      <c r="BO37" s="28"/>
    </row>
    <row r="38" spans="1:67" hidden="1">
      <c r="A38" s="21" t="s">
        <v>189</v>
      </c>
      <c r="B38" s="40">
        <v>264504</v>
      </c>
      <c r="D38" s="40">
        <v>204225</v>
      </c>
      <c r="F38" s="40">
        <v>207892</v>
      </c>
      <c r="H38" s="40">
        <v>214779</v>
      </c>
      <c r="J38" s="40">
        <v>302248</v>
      </c>
      <c r="L38" s="40">
        <f>L6</f>
        <v>294158</v>
      </c>
      <c r="N38" s="40">
        <f>N6</f>
        <v>430526</v>
      </c>
      <c r="P38" s="40">
        <f>P6</f>
        <v>691617</v>
      </c>
      <c r="R38" s="40">
        <v>813040</v>
      </c>
      <c r="T38" s="40">
        <v>588499</v>
      </c>
      <c r="V38" s="40">
        <v>686987</v>
      </c>
      <c r="X38" s="40">
        <v>582756</v>
      </c>
      <c r="Z38" s="40">
        <v>590828</v>
      </c>
      <c r="AB38" s="40">
        <v>552363</v>
      </c>
      <c r="AD38" s="40">
        <v>597177</v>
      </c>
      <c r="AF38" s="40">
        <v>600965</v>
      </c>
      <c r="AH38" s="40">
        <v>611199</v>
      </c>
      <c r="AJ38" s="40">
        <v>448137</v>
      </c>
      <c r="AL38" s="40">
        <v>362042</v>
      </c>
      <c r="AN38" s="40">
        <v>500135</v>
      </c>
      <c r="AP38" s="40">
        <v>486091</v>
      </c>
      <c r="AR38" s="40">
        <v>512045</v>
      </c>
      <c r="AT38" s="40">
        <f>509343</f>
        <v>509343</v>
      </c>
      <c r="AV38" s="40">
        <v>560753</v>
      </c>
      <c r="AX38" s="40">
        <f>AX6</f>
        <v>430168</v>
      </c>
      <c r="AZ38" s="40">
        <f>AZ6</f>
        <v>386480</v>
      </c>
      <c r="BA38" s="40">
        <f t="shared" ref="BA38:BL38" si="2">BA6</f>
        <v>0</v>
      </c>
      <c r="BB38" s="40">
        <f t="shared" si="2"/>
        <v>458841</v>
      </c>
      <c r="BC38" s="40"/>
      <c r="BD38" s="40">
        <f t="shared" si="2"/>
        <v>550460</v>
      </c>
      <c r="BE38" s="40"/>
      <c r="BF38" s="40">
        <f t="shared" si="2"/>
        <v>495408</v>
      </c>
      <c r="BG38" s="40"/>
      <c r="BH38" s="40">
        <f t="shared" si="2"/>
        <v>503524</v>
      </c>
      <c r="BI38" s="40">
        <f t="shared" si="2"/>
        <v>0</v>
      </c>
      <c r="BJ38" s="40">
        <f t="shared" si="2"/>
        <v>375785</v>
      </c>
      <c r="BK38" s="40"/>
      <c r="BL38" s="40">
        <f t="shared" si="2"/>
        <v>311444</v>
      </c>
      <c r="BM38" s="28"/>
      <c r="BN38" s="44"/>
      <c r="BO38" s="28"/>
    </row>
    <row r="39" spans="1:67" hidden="1">
      <c r="A39" s="20" t="s">
        <v>186</v>
      </c>
      <c r="B39" s="40">
        <f>B32</f>
        <v>91</v>
      </c>
      <c r="D39" s="40">
        <f>D32</f>
        <v>92</v>
      </c>
      <c r="F39" s="40">
        <f>F32</f>
        <v>92</v>
      </c>
      <c r="H39" s="40">
        <f>H32</f>
        <v>91</v>
      </c>
      <c r="J39" s="40">
        <f>J32</f>
        <v>90</v>
      </c>
      <c r="L39" s="40">
        <f>L32</f>
        <v>92</v>
      </c>
      <c r="N39" s="40">
        <f>N32</f>
        <v>92</v>
      </c>
      <c r="P39" s="40">
        <f>P32</f>
        <v>91</v>
      </c>
      <c r="R39" s="40">
        <f>R32</f>
        <v>90</v>
      </c>
      <c r="T39" s="40">
        <f>T32</f>
        <v>92</v>
      </c>
      <c r="V39" s="40">
        <f>V32</f>
        <v>92</v>
      </c>
      <c r="X39" s="40">
        <f>X32</f>
        <v>91</v>
      </c>
      <c r="Z39" s="40">
        <f>Z32</f>
        <v>90</v>
      </c>
      <c r="AB39" s="40">
        <f>AB32</f>
        <v>92</v>
      </c>
      <c r="AD39" s="40">
        <f>AD32</f>
        <v>92</v>
      </c>
      <c r="AF39" s="40">
        <f>AF32</f>
        <v>91</v>
      </c>
      <c r="AH39" s="40">
        <f>AH32</f>
        <v>91</v>
      </c>
      <c r="AJ39" s="40">
        <f>AJ32</f>
        <v>92</v>
      </c>
      <c r="AL39" s="40">
        <f>AL32</f>
        <v>92</v>
      </c>
      <c r="AN39" s="40">
        <f>AN32</f>
        <v>91</v>
      </c>
      <c r="AP39" s="40">
        <f>AP32</f>
        <v>90</v>
      </c>
      <c r="AR39" s="40">
        <f>AR32</f>
        <v>92</v>
      </c>
      <c r="AT39" s="40">
        <f>AT32</f>
        <v>92</v>
      </c>
      <c r="AV39" s="40">
        <f>AV32</f>
        <v>91</v>
      </c>
      <c r="AX39" s="40">
        <v>90</v>
      </c>
      <c r="AZ39" s="40">
        <f>AZ32</f>
        <v>92</v>
      </c>
      <c r="BA39" s="40"/>
      <c r="BB39" s="40">
        <v>92</v>
      </c>
      <c r="BD39" s="40">
        <v>91</v>
      </c>
      <c r="BF39" s="40">
        <v>90</v>
      </c>
      <c r="BH39" s="40">
        <v>92</v>
      </c>
      <c r="BJ39" s="40">
        <v>92</v>
      </c>
      <c r="BK39" s="28"/>
      <c r="BL39" s="44">
        <v>91</v>
      </c>
      <c r="BM39" s="28"/>
      <c r="BN39" s="44">
        <f>31+29+31</f>
        <v>91</v>
      </c>
      <c r="BO39" s="28"/>
    </row>
    <row r="40" spans="1:67" hidden="1">
      <c r="A40" s="20" t="s">
        <v>190</v>
      </c>
      <c r="B40" s="40">
        <f>B39/(B36/((B37+D37)/2))</f>
        <v>168.5111124518524</v>
      </c>
      <c r="D40" s="40">
        <f>D39/(D36/((D37+F37)/2))</f>
        <v>175.45181946766107</v>
      </c>
      <c r="F40" s="40">
        <f>F39/(F36/((F37+H37)/2))</f>
        <v>229.96077524785494</v>
      </c>
      <c r="H40" s="40">
        <f>H39/(H36/((H37+J37)/2))</f>
        <v>203.45210374264181</v>
      </c>
      <c r="J40" s="40">
        <f>J39/(J36/((J37+L37)/2))</f>
        <v>182.90656955523806</v>
      </c>
      <c r="L40" s="40">
        <f>L39/(L36/((L37+N37)/2))</f>
        <v>127.91940820207304</v>
      </c>
      <c r="N40" s="40">
        <f>N39/(N36/((N37+P37)/2))</f>
        <v>132.93977846015119</v>
      </c>
      <c r="P40" s="40">
        <f>P39/(P36/((P37+R37)/2))</f>
        <v>182.06215332794568</v>
      </c>
      <c r="R40" s="40">
        <f>R39/(R36/((R37+T37)/2))</f>
        <v>201.60328143407355</v>
      </c>
      <c r="T40" s="40">
        <f>T39/(T36/((T37+V37)/2))</f>
        <v>151.94961679495916</v>
      </c>
      <c r="V40" s="40">
        <f>V39/(V36/((V37+X37)/2))</f>
        <v>117.99843740928432</v>
      </c>
      <c r="X40" s="40">
        <f>X39/(X36/((X37+Z37)/2))</f>
        <v>100.71449668802258</v>
      </c>
      <c r="Z40" s="40">
        <f>Z39/(Z36/((Z37+AB37)/2))</f>
        <v>112.01416539050535</v>
      </c>
      <c r="AB40" s="40">
        <f>AB39/(AB36/((AB37+AD37)/2))</f>
        <v>116.24845888935107</v>
      </c>
      <c r="AD40" s="40">
        <f>AD39/(AD36/((AD37+AF37)/2))</f>
        <v>125.5681025481089</v>
      </c>
      <c r="AF40" s="40">
        <f>AF39/(AF36/((AF37+AH37)/2))</f>
        <v>125.7123666755849</v>
      </c>
      <c r="AH40" s="40">
        <f>AH39/(AH36/((AH37+AJ37)/2))</f>
        <v>90.92654588741766</v>
      </c>
      <c r="AJ40" s="40">
        <f>AJ39/(AJ36/((AJ37+AL37)/2))</f>
        <v>72.595909677459289</v>
      </c>
      <c r="AL40" s="40">
        <f>AL39/(AL36/((AL37+AN37)/2))</f>
        <v>95.208252546941381</v>
      </c>
      <c r="AN40" s="40">
        <f>AN39/(AN36/((AN37+AP37)/2))</f>
        <v>141.59259576071784</v>
      </c>
      <c r="AP40" s="40">
        <f>AP39/(AP36/((AP37+AR37)/2))</f>
        <v>106.34368692108887</v>
      </c>
      <c r="AR40" s="40">
        <f>AR39/(AR36/((AR37+AT37)/2))</f>
        <v>85.802746286417602</v>
      </c>
      <c r="AT40" s="40">
        <f>AT39/(AT36/((AT37+AV37)/2))</f>
        <v>74.916602560408137</v>
      </c>
      <c r="AV40" s="40">
        <f>AV39/(AV36/((AV37+AX37)/2))</f>
        <v>99.835332425464799</v>
      </c>
      <c r="AX40" s="40">
        <f>AX39/(AX36/((AX37+AZ37)/2))</f>
        <v>80.767495205505199</v>
      </c>
      <c r="AZ40" s="40">
        <f>AZ39/(AZ36/((AZ37+BB37)/2))</f>
        <v>73.190839740401387</v>
      </c>
      <c r="BB40" s="40">
        <f>BB39/(BB36/((BB37+BD37)/2))</f>
        <v>92.722224920744409</v>
      </c>
      <c r="BD40" s="40">
        <f>BD39/(BD36/((BD37+BF37)/2))</f>
        <v>107.91950242872716</v>
      </c>
      <c r="BF40" s="40">
        <f>BF39/(BF36/((BF37+BH37)/2))</f>
        <v>109.29755062264961</v>
      </c>
      <c r="BH40" s="40">
        <f>BH39/(BH36/((BH37+BJ37)/2))</f>
        <v>68.717852676510248</v>
      </c>
      <c r="BJ40" s="40">
        <f>BJ39/(BJ36/((BJ37+BL37)/2))</f>
        <v>51.80943019477013</v>
      </c>
      <c r="BK40" s="28"/>
      <c r="BL40" s="44">
        <v>45.484175414189963</v>
      </c>
      <c r="BM40" s="28"/>
      <c r="BN40" s="44" t="e">
        <f>BN39/(BN36/((BN37+#REF!)/2))</f>
        <v>#REF!</v>
      </c>
      <c r="BO40" s="28"/>
    </row>
    <row r="41" spans="1:67" hidden="1">
      <c r="A41" s="20" t="s">
        <v>191</v>
      </c>
      <c r="B41" s="40">
        <f>B39/(B36/AVERAGE(B38,D38))</f>
        <v>67.723144511093395</v>
      </c>
      <c r="D41" s="40">
        <f>D39/(D36/AVERAGE(D38,F38))</f>
        <v>60.940536196476792</v>
      </c>
      <c r="F41" s="40">
        <f>F39/(F36/AVERAGE(F38,H38))</f>
        <v>73.685178728435872</v>
      </c>
      <c r="H41" s="40">
        <f>H39/(H36/AVERAGE(H38,J38))</f>
        <v>72.999446097704023</v>
      </c>
      <c r="J41" s="40">
        <f>J39/(J36/AVERAGE(J38,L38))</f>
        <v>73.596651191360891</v>
      </c>
      <c r="L41" s="40">
        <f>L39/(L36/AVERAGE(L38,N38))</f>
        <v>61.069398492659317</v>
      </c>
      <c r="N41" s="40">
        <f>N39/(N36/AVERAGE(N38,P38))</f>
        <v>88.155812261544085</v>
      </c>
      <c r="P41" s="40">
        <f>P39/(P36/AVERAGE(P38,R38))</f>
        <v>145.21652168748557</v>
      </c>
      <c r="R41" s="40">
        <f>R39/(R36/AVERAGE(R38,T38))</f>
        <v>164.01775427993351</v>
      </c>
      <c r="T41" s="40">
        <f>T39/(T36/AVERAGE(T38,V38))</f>
        <v>122.65980674591394</v>
      </c>
      <c r="V41" s="40">
        <f>V39/(V36/AVERAGE(V38,X38))</f>
        <v>96.887554844114149</v>
      </c>
      <c r="X41" s="40">
        <f>X39/(X36/AVERAGE(X38,Z38))</f>
        <v>82.835226408947776</v>
      </c>
      <c r="Z41" s="40">
        <f>Z39/(Z36/AVERAGE(Z38,AB38))</f>
        <v>93.786179173047472</v>
      </c>
      <c r="AB41" s="40">
        <f>AB39/(AB36/AVERAGE(AB38,AD38))</f>
        <v>99.078593832559505</v>
      </c>
      <c r="AD41" s="40">
        <f>AD39/(AD36/AVERAGE(AD38,AF38))</f>
        <v>108.790634234156</v>
      </c>
      <c r="AF41" s="40">
        <f>AF39/(AF36/AVERAGE(AF38,AH38))</f>
        <v>110.12059994489324</v>
      </c>
      <c r="AH41" s="40">
        <f>AH39/(AH36/AVERAGE(AH38,AJ38))</f>
        <v>78.5985715217533</v>
      </c>
      <c r="AJ41" s="40">
        <f>AJ39/(AJ36/AVERAGE(AJ38,AL38))</f>
        <v>57.663450439884507</v>
      </c>
      <c r="AL41" s="40">
        <f>AL39/(AL36/AVERAGE(AL38,AN38))</f>
        <v>72.475018502444158</v>
      </c>
      <c r="AN41" s="40">
        <f>AN39/(AN36/AVERAGE(AN38,AP38))</f>
        <v>111.2589239889617</v>
      </c>
      <c r="AP41" s="40">
        <f>AP39/(AP36/AVERAGE(AP38,AR38))</f>
        <v>84.733007602482587</v>
      </c>
      <c r="AR41" s="40">
        <f>AR39/(AR36/AVERAGE(AR38,AT38))</f>
        <v>68.516941168921704</v>
      </c>
      <c r="AT41" s="40">
        <f>AT39/(AT36/AVERAGE(AT38,AV38))</f>
        <v>61.672830055352733</v>
      </c>
      <c r="AV41" s="40">
        <f>AV39/(AV36/AVERAGE(AV38,AX38))</f>
        <v>83.084539576127355</v>
      </c>
      <c r="AX41" s="40">
        <f>AX39/(AX36/AVERAGE(AX38,AZ38))</f>
        <v>65.805287105629304</v>
      </c>
      <c r="AZ41" s="40">
        <f>AZ39/(AZ36/AVERAGE(AZ38,BB38))</f>
        <v>58.255029273759092</v>
      </c>
      <c r="BA41" s="40"/>
      <c r="BB41" s="40">
        <f>BB39/(BB36/AVERAGE(BB38,BD38))</f>
        <v>75.171943356940005</v>
      </c>
      <c r="BC41" s="40"/>
      <c r="BD41" s="40">
        <f>BD39/(BD36/AVERAGE(BD38,BF38))</f>
        <v>91.654103797751162</v>
      </c>
      <c r="BE41" s="40"/>
      <c r="BF41" s="40">
        <f>BF39/(BF36/AVERAGE(BF38,BH38))</f>
        <v>95.023961070395018</v>
      </c>
      <c r="BG41" s="40"/>
      <c r="BH41" s="40">
        <f>BH39/(BH36/AVERAGE(BH38,BJ38))</f>
        <v>61.838155750361565</v>
      </c>
      <c r="BI41" s="40"/>
      <c r="BJ41" s="40">
        <f>BJ39/(BJ36/AVERAGE(BJ38,BL38))</f>
        <v>48.781311820457184</v>
      </c>
      <c r="BK41" s="40"/>
      <c r="BL41" s="40">
        <f>BL39/(BL36/AVERAGE(BL38,BN38))</f>
        <v>42.670755870325877</v>
      </c>
      <c r="BM41" s="28"/>
      <c r="BN41" s="44"/>
      <c r="BO41" s="28"/>
    </row>
    <row r="42" spans="1:67" hidden="1">
      <c r="B42" s="40"/>
      <c r="D42" s="40"/>
      <c r="F42" s="40"/>
      <c r="H42" s="40"/>
      <c r="J42" s="40"/>
      <c r="L42" s="40"/>
      <c r="N42" s="40"/>
      <c r="P42" s="40"/>
      <c r="R42" s="40"/>
      <c r="T42" s="40"/>
      <c r="V42" s="40"/>
      <c r="X42" s="40"/>
      <c r="Z42" s="40"/>
      <c r="AB42" s="40"/>
      <c r="AD42" s="40"/>
      <c r="AF42" s="40"/>
      <c r="AH42" s="40"/>
      <c r="AJ42" s="40"/>
      <c r="AL42" s="40"/>
      <c r="AN42" s="40"/>
      <c r="AP42" s="40"/>
      <c r="AR42" s="40"/>
      <c r="AT42" s="40"/>
      <c r="AV42" s="40"/>
      <c r="AX42" s="40"/>
      <c r="AZ42" s="40"/>
      <c r="BB42" s="40"/>
      <c r="BD42" s="40"/>
      <c r="BF42" s="40"/>
      <c r="BH42" s="40"/>
      <c r="BJ42" s="44"/>
      <c r="BK42" s="28"/>
      <c r="BL42" s="44"/>
      <c r="BM42" s="28"/>
      <c r="BN42" s="44"/>
      <c r="BO42" s="28"/>
    </row>
    <row r="43" spans="1:67" hidden="1">
      <c r="A43" s="20" t="s">
        <v>192</v>
      </c>
      <c r="B43" s="41">
        <f>B8/(B15+B16)</f>
        <v>3.9538965466573552</v>
      </c>
      <c r="D43" s="41">
        <f>D8/(D15+D16)</f>
        <v>3.8214802365157468</v>
      </c>
      <c r="F43" s="41">
        <f>F8/(F15+F16)</f>
        <v>3.7796448017452566</v>
      </c>
      <c r="H43" s="41">
        <f>H8/(H15+H16)</f>
        <v>3.843835988005003</v>
      </c>
      <c r="J43" s="41">
        <f>J8/(J15+J16)</f>
        <v>3.5032800925425138</v>
      </c>
      <c r="L43" s="41">
        <f>L8/(L15+L16)</f>
        <v>3.7502671239894418</v>
      </c>
      <c r="N43" s="41">
        <f>N8/(N15+N16)</f>
        <v>4.9946723568919147</v>
      </c>
      <c r="P43" s="41">
        <f>P8/(P15+P16)</f>
        <v>6.114328579695842</v>
      </c>
      <c r="R43" s="41">
        <f>R8/(R15+R16)</f>
        <v>4.4741200140619117</v>
      </c>
      <c r="T43" s="41">
        <f>T8/(T15+T16)</f>
        <v>4.8773874414173024</v>
      </c>
      <c r="V43" s="41">
        <f>V8/(V15+V16)</f>
        <v>5.3044376548451764</v>
      </c>
      <c r="X43" s="41">
        <f>X8/(X15+X16)</f>
        <v>4.9215298259812945</v>
      </c>
      <c r="Z43" s="41">
        <f>Z8/(Z15+Z16)</f>
        <v>5.9179285795382448</v>
      </c>
      <c r="AB43" s="41">
        <f>AB8/(AB15+AB16)</f>
        <v>5.3934665246696722</v>
      </c>
      <c r="AD43" s="41">
        <f>AD8/(AD15+AD16)</f>
        <v>5.781797358363729</v>
      </c>
      <c r="AF43" s="41">
        <f>AF8/(AF15+AF16)</f>
        <v>6.734457391457962</v>
      </c>
      <c r="AH43" s="41">
        <f>AH8/(AH15+AH16)</f>
        <v>6.0001194032730973</v>
      </c>
      <c r="AJ43" s="41">
        <f>AJ8/(AJ15+AJ16)</f>
        <v>5.0016682865971305</v>
      </c>
      <c r="AL43" s="41">
        <f>AL8/(AL15+AL16)</f>
        <v>6.4443557494386852</v>
      </c>
      <c r="AN43" s="41">
        <f>AN8/(AN15+AN16)</f>
        <v>5.3506981728437824</v>
      </c>
      <c r="AP43" s="41">
        <f>AP8/(AP15+AP16)</f>
        <v>5.8826868082935411</v>
      </c>
      <c r="AR43" s="41">
        <f>AR8/(AR15+AR16)</f>
        <v>5.2142611779153762</v>
      </c>
      <c r="AT43" s="41">
        <f>AT8/(AT15+AT16)</f>
        <v>5.0691410311495018</v>
      </c>
      <c r="AV43" s="41">
        <f>AV8/(AV15+AV16)</f>
        <v>3.544053088496641</v>
      </c>
      <c r="AX43" s="41">
        <f>AX8/(AX15+AX16)</f>
        <v>5.3427667988471148</v>
      </c>
      <c r="AZ43" s="41">
        <f>AZ8/(AZ15+AZ16)</f>
        <v>5.1804729240202292</v>
      </c>
      <c r="BB43" s="41">
        <f>5447274/895552</f>
        <v>6.0825881690845423</v>
      </c>
      <c r="BD43" s="41">
        <v>3.754608308186647</v>
      </c>
      <c r="BF43" s="41">
        <v>4.5951395448690429</v>
      </c>
      <c r="BH43" s="41">
        <f>BH8/(BH15+BH16)</f>
        <v>3.6539661405728237</v>
      </c>
      <c r="BJ43" s="45">
        <f>5054077/1251636</f>
        <v>4.0379766961001442</v>
      </c>
      <c r="BK43" s="29"/>
      <c r="BL43" s="45">
        <v>3.0304275952100919</v>
      </c>
      <c r="BM43" s="29"/>
      <c r="BN43" s="45">
        <f>BN8/(BN15+BN16)</f>
        <v>3.583401413868303</v>
      </c>
      <c r="BO43" s="29"/>
    </row>
    <row r="44" spans="1:67" hidden="1"/>
    <row r="45" spans="1:67" hidden="1">
      <c r="B45" s="40"/>
      <c r="D45" s="40"/>
      <c r="F45" s="40"/>
      <c r="H45" s="40"/>
      <c r="J45" s="40"/>
      <c r="L45" s="40"/>
      <c r="N45" s="40"/>
      <c r="P45" s="40"/>
      <c r="R45" s="40"/>
      <c r="T45" s="40"/>
      <c r="V45" s="40"/>
      <c r="X45" s="40"/>
      <c r="Z45" s="40"/>
      <c r="AB45" s="40"/>
      <c r="AD45" s="40"/>
      <c r="AF45" s="40"/>
      <c r="AH45" s="40"/>
      <c r="AJ45" s="40"/>
      <c r="AL45" s="40"/>
      <c r="AN45" s="40"/>
      <c r="AP45" s="40"/>
      <c r="AR45" s="40"/>
      <c r="AT45" s="40"/>
      <c r="AV45" s="40"/>
      <c r="AX45" s="40"/>
      <c r="AZ45" s="40"/>
      <c r="BB45" s="40"/>
      <c r="BD45" s="40"/>
      <c r="BF45" s="40"/>
      <c r="BH45" s="40"/>
      <c r="BJ45" s="44"/>
      <c r="BK45" s="28"/>
      <c r="BL45" s="44"/>
      <c r="BM45" s="28"/>
      <c r="BN45" s="44"/>
      <c r="BO45" s="28"/>
    </row>
    <row r="46" spans="1:67" hidden="1">
      <c r="A46" s="20" t="s">
        <v>0</v>
      </c>
      <c r="B46" s="40">
        <f>B36</f>
        <v>314917</v>
      </c>
      <c r="D46" s="40">
        <f>D36</f>
        <v>311080</v>
      </c>
      <c r="F46" s="40">
        <f>F36</f>
        <v>263864</v>
      </c>
      <c r="H46" s="40">
        <f>H36</f>
        <v>322259</v>
      </c>
      <c r="J46" s="40">
        <f>J36</f>
        <v>364667</v>
      </c>
      <c r="L46" s="40">
        <f>L36</f>
        <v>545862</v>
      </c>
      <c r="N46" s="40">
        <f>N36</f>
        <v>585538</v>
      </c>
      <c r="P46" s="40">
        <f>P36</f>
        <v>471447</v>
      </c>
      <c r="R46" s="40">
        <f>R36</f>
        <v>384527</v>
      </c>
      <c r="T46" s="40">
        <f>T36</f>
        <v>478334</v>
      </c>
      <c r="V46" s="40">
        <f>V36</f>
        <v>602845</v>
      </c>
      <c r="X46" s="40">
        <f>X36</f>
        <v>644630</v>
      </c>
      <c r="Z46" s="40">
        <f>Z36</f>
        <v>548520</v>
      </c>
      <c r="AB46" s="40">
        <f>AB36</f>
        <v>533706</v>
      </c>
      <c r="AD46" s="40">
        <f>AD36</f>
        <v>506611</v>
      </c>
      <c r="AF46" s="40">
        <f>AF36</f>
        <v>500846</v>
      </c>
      <c r="AH46" s="40">
        <f>AH36</f>
        <v>613240</v>
      </c>
      <c r="AJ46" s="40">
        <f>AJ36</f>
        <v>646306</v>
      </c>
      <c r="AL46" s="40">
        <f>AL36</f>
        <v>547225</v>
      </c>
      <c r="AN46" s="40">
        <f>AN36</f>
        <v>403323</v>
      </c>
      <c r="AP46" s="40">
        <f>AP36</f>
        <v>530090</v>
      </c>
      <c r="AR46" s="40">
        <f>AR36</f>
        <v>685726</v>
      </c>
      <c r="AT46" s="40">
        <f>AT36</f>
        <v>798154</v>
      </c>
      <c r="AV46" s="40">
        <f>AV36</f>
        <v>542663</v>
      </c>
      <c r="AX46" s="40">
        <v>558453</v>
      </c>
      <c r="AZ46" s="40">
        <f>AZ36</f>
        <v>667492</v>
      </c>
      <c r="BB46" s="40">
        <v>617622</v>
      </c>
      <c r="BD46" s="40">
        <v>519202</v>
      </c>
      <c r="BF46" s="40">
        <v>473059</v>
      </c>
      <c r="BH46" s="40">
        <v>654098</v>
      </c>
      <c r="BJ46" s="44">
        <v>648046</v>
      </c>
      <c r="BK46" s="28"/>
      <c r="BL46" s="44">
        <v>664188</v>
      </c>
      <c r="BM46" s="28"/>
      <c r="BN46" s="44">
        <f>BN36</f>
        <v>733231</v>
      </c>
      <c r="BO46" s="28"/>
    </row>
    <row r="47" spans="1:67" hidden="1">
      <c r="A47" s="21" t="s">
        <v>193</v>
      </c>
      <c r="B47" s="40">
        <f>B15</f>
        <v>294596</v>
      </c>
      <c r="D47" s="40">
        <f>D15</f>
        <v>196726</v>
      </c>
      <c r="F47" s="40">
        <f>F15</f>
        <v>252112</v>
      </c>
      <c r="H47" s="40">
        <f>H15</f>
        <v>265802</v>
      </c>
      <c r="J47" s="40">
        <f>J15</f>
        <v>408160</v>
      </c>
      <c r="L47" s="40">
        <f>L15</f>
        <v>405480</v>
      </c>
      <c r="N47" s="40">
        <f>N15</f>
        <v>356398</v>
      </c>
      <c r="P47" s="40">
        <f>P15</f>
        <v>286111</v>
      </c>
      <c r="R47" s="40">
        <f>R15</f>
        <v>614578</v>
      </c>
      <c r="T47" s="40">
        <f>T15</f>
        <v>407748</v>
      </c>
      <c r="V47" s="40">
        <f>V15</f>
        <v>471692</v>
      </c>
      <c r="X47" s="40">
        <f>X15</f>
        <v>540847</v>
      </c>
      <c r="Z47" s="40">
        <f>Z15</f>
        <v>474493</v>
      </c>
      <c r="AB47" s="40">
        <f>AB15</f>
        <v>448124</v>
      </c>
      <c r="AD47" s="40">
        <f>AD15</f>
        <v>410313</v>
      </c>
      <c r="AF47" s="40">
        <f>AF15</f>
        <v>388943</v>
      </c>
      <c r="AH47" s="40">
        <f>AH15</f>
        <v>525708</v>
      </c>
      <c r="AJ47" s="40">
        <f>AJ15</f>
        <v>633629</v>
      </c>
      <c r="AL47" s="40">
        <f>AL15</f>
        <v>345868</v>
      </c>
      <c r="AN47" s="40">
        <f>AN15</f>
        <v>324307</v>
      </c>
      <c r="AP47" s="40">
        <f>AP15</f>
        <v>451214</v>
      </c>
      <c r="AR47" s="40">
        <f>AR15</f>
        <v>511217</v>
      </c>
      <c r="AT47" s="40">
        <f>AT15</f>
        <v>604935</v>
      </c>
      <c r="AV47" s="40">
        <f>AV15</f>
        <v>484040</v>
      </c>
      <c r="AX47" s="40">
        <v>554009</v>
      </c>
      <c r="AZ47" s="40">
        <f>AZ15</f>
        <v>492527</v>
      </c>
      <c r="BB47" s="40">
        <v>456522</v>
      </c>
      <c r="BD47" s="40">
        <v>574761</v>
      </c>
      <c r="BF47" s="40">
        <v>491152</v>
      </c>
      <c r="BH47" s="40">
        <v>643566</v>
      </c>
      <c r="BJ47" s="44">
        <v>641041</v>
      </c>
      <c r="BK47" s="28"/>
      <c r="BL47" s="44">
        <v>667224</v>
      </c>
      <c r="BM47" s="28"/>
      <c r="BN47" s="44">
        <f>BN15</f>
        <v>862357</v>
      </c>
      <c r="BO47" s="28"/>
    </row>
    <row r="48" spans="1:67" hidden="1">
      <c r="A48" s="20" t="s">
        <v>186</v>
      </c>
      <c r="B48" s="40">
        <f>B32</f>
        <v>91</v>
      </c>
      <c r="D48" s="40">
        <f>D32</f>
        <v>92</v>
      </c>
      <c r="F48" s="40">
        <f>F32</f>
        <v>92</v>
      </c>
      <c r="H48" s="40">
        <f>H32</f>
        <v>91</v>
      </c>
      <c r="J48" s="40">
        <f>J32</f>
        <v>90</v>
      </c>
      <c r="L48" s="40">
        <f>L32</f>
        <v>92</v>
      </c>
      <c r="N48" s="40">
        <f>N32</f>
        <v>92</v>
      </c>
      <c r="P48" s="40">
        <f>P32</f>
        <v>91</v>
      </c>
      <c r="R48" s="40">
        <f>R32</f>
        <v>90</v>
      </c>
      <c r="T48" s="40">
        <f>T32</f>
        <v>92</v>
      </c>
      <c r="V48" s="40">
        <f>V32</f>
        <v>92</v>
      </c>
      <c r="X48" s="40">
        <f>X32</f>
        <v>91</v>
      </c>
      <c r="Z48" s="40">
        <f>Z32</f>
        <v>90</v>
      </c>
      <c r="AB48" s="40">
        <f>AB32</f>
        <v>92</v>
      </c>
      <c r="AD48" s="40">
        <f>AD32</f>
        <v>92</v>
      </c>
      <c r="AF48" s="40">
        <f>AF32</f>
        <v>91</v>
      </c>
      <c r="AH48" s="40">
        <f>AH32</f>
        <v>91</v>
      </c>
      <c r="AJ48" s="40">
        <f>AJ32</f>
        <v>92</v>
      </c>
      <c r="AL48" s="40">
        <f>AL32</f>
        <v>92</v>
      </c>
      <c r="AN48" s="40">
        <f>AN32</f>
        <v>91</v>
      </c>
      <c r="AP48" s="40">
        <f>AP32</f>
        <v>90</v>
      </c>
      <c r="AR48" s="40">
        <f>AR32</f>
        <v>92</v>
      </c>
      <c r="AT48" s="40">
        <f>AT32</f>
        <v>92</v>
      </c>
      <c r="AV48" s="40">
        <f>AV32</f>
        <v>91</v>
      </c>
      <c r="AX48" s="40">
        <v>90</v>
      </c>
      <c r="AZ48" s="40">
        <f>AZ32</f>
        <v>92</v>
      </c>
      <c r="BB48" s="40">
        <v>92</v>
      </c>
      <c r="BD48" s="40">
        <v>91</v>
      </c>
      <c r="BF48" s="40">
        <v>90</v>
      </c>
      <c r="BH48" s="40">
        <v>92</v>
      </c>
      <c r="BJ48" s="44">
        <v>92</v>
      </c>
      <c r="BK48" s="28"/>
      <c r="BL48" s="44">
        <v>91</v>
      </c>
      <c r="BM48" s="28"/>
      <c r="BN48" s="44">
        <f>31+29+31</f>
        <v>91</v>
      </c>
      <c r="BO48" s="28"/>
    </row>
    <row r="49" spans="1:67" hidden="1">
      <c r="A49" s="20" t="s">
        <v>194</v>
      </c>
      <c r="B49" s="40">
        <f>B48/(B46/((B47+D47)/2))</f>
        <v>70.98743795984339</v>
      </c>
      <c r="D49" s="40">
        <f>D48/(D46/((D47+F47)/2))</f>
        <v>66.370541339848273</v>
      </c>
      <c r="F49" s="40">
        <f>F48/(F46/((F47+H47)/2))</f>
        <v>90.289103477549034</v>
      </c>
      <c r="H49" s="40">
        <f>H48/(H46/((H47+J47)/2))</f>
        <v>95.157221365423467</v>
      </c>
      <c r="J49" s="40">
        <f>J48/(J46/((J47+L47)/2))</f>
        <v>100.40338171537321</v>
      </c>
      <c r="L49" s="40">
        <f>L48/(L46/((L47+N47)/2))</f>
        <v>64.203751131238292</v>
      </c>
      <c r="N49" s="40">
        <f>N48/(N46/((N47+P47)/2))</f>
        <v>50.475654867830954</v>
      </c>
      <c r="P49" s="40">
        <f>P48/(P46/((P47+R47)/2))</f>
        <v>86.926737257846597</v>
      </c>
      <c r="R49" s="40">
        <f>R48/(R46/((R47+T47)/2))</f>
        <v>119.63963518816625</v>
      </c>
      <c r="T49" s="40">
        <f>T48/(T46/((T47+V47)/2))</f>
        <v>84.573206169747493</v>
      </c>
      <c r="V49" s="40">
        <f>V48/(V46/((V47+X47)/2))</f>
        <v>77.261641052011711</v>
      </c>
      <c r="X49" s="40">
        <f>X48/(X46/((X47+Z47)/2))</f>
        <v>71.665870344228466</v>
      </c>
      <c r="Z49" s="40">
        <f>Z48/(Z46/((Z47+AB47)/2))</f>
        <v>75.690521767665714</v>
      </c>
      <c r="AB49" s="40">
        <f>AB48/(AB46/((AB47+AD47)/2))</f>
        <v>73.988491791360786</v>
      </c>
      <c r="AD49" s="40">
        <f>AD48/(AD46/((AD47+AF47)/2))</f>
        <v>72.572004950543914</v>
      </c>
      <c r="AF49" s="40">
        <f>AF48/(AF46/((AF47+AH47)/2))</f>
        <v>83.092648239179312</v>
      </c>
      <c r="AH49" s="40">
        <f>AH48/(AH46/((AH47+AJ47)/2))</f>
        <v>86.01825304937708</v>
      </c>
      <c r="AJ49" s="40">
        <f>AJ48/(AJ46/((AJ47+AL47)/2))</f>
        <v>69.714441765974627</v>
      </c>
      <c r="AL49" s="40">
        <f>AL48/(AL46/((AL47+AN47)/2))</f>
        <v>56.335236876970164</v>
      </c>
      <c r="AN49" s="40">
        <f>AN48/(AN46/((AN47+AP47)/2))</f>
        <v>87.48870136342336</v>
      </c>
      <c r="AP49" s="40">
        <f>AP48/(AP46/((AP47+AR47)/2))</f>
        <v>81.701965703937063</v>
      </c>
      <c r="AR49" s="40">
        <f>AR48/(AR46/((AR47+AT47)/2))</f>
        <v>74.873917570574832</v>
      </c>
      <c r="AT49" s="40">
        <f>AT48/(AT46/((AT47+AV47)/2))</f>
        <v>62.760883238071848</v>
      </c>
      <c r="AV49" s="40">
        <f>AV48/(AV46/((AV47+AX47)/2))</f>
        <v>87.036023277798563</v>
      </c>
      <c r="AX49" s="40">
        <f>AX48/(AX46/((AX47+AZ47)/2))</f>
        <v>84.32960338649805</v>
      </c>
      <c r="AZ49" s="40">
        <f>AZ48/(AZ46/((AZ47+BB47)/2))</f>
        <v>65.403411576468329</v>
      </c>
      <c r="BB49" s="40">
        <f>BB48/(BB46/((BB47+BD47)/2))</f>
        <v>76.809145399613357</v>
      </c>
      <c r="BD49" s="40">
        <v>93.410737054171591</v>
      </c>
      <c r="BF49" s="40">
        <v>107.94067970380016</v>
      </c>
      <c r="BH49" s="40">
        <v>90.341083446211428</v>
      </c>
      <c r="BJ49" s="44">
        <f>BJ48/(BJ46/((BJ47+BL47)/2))</f>
        <v>92.864071377649111</v>
      </c>
      <c r="BK49" s="28"/>
      <c r="BL49" s="44">
        <v>104.78348825934826</v>
      </c>
      <c r="BM49" s="28"/>
      <c r="BN49" s="44" t="e">
        <f>BN48/(BN46/((BN47+#REF!)/2))</f>
        <v>#REF!</v>
      </c>
      <c r="BO49" s="28"/>
    </row>
    <row r="50" spans="1:67" hidden="1">
      <c r="B50" s="40"/>
      <c r="D50" s="40"/>
      <c r="F50" s="40"/>
      <c r="H50" s="40"/>
      <c r="J50" s="40"/>
      <c r="L50" s="40"/>
      <c r="N50" s="40"/>
      <c r="P50" s="40"/>
      <c r="R50" s="40"/>
      <c r="T50" s="40"/>
      <c r="V50" s="40"/>
      <c r="X50" s="40"/>
      <c r="Z50" s="40"/>
      <c r="AB50" s="40"/>
      <c r="AD50" s="40"/>
      <c r="AF50" s="40"/>
      <c r="AH50" s="40"/>
      <c r="AJ50" s="40"/>
      <c r="AL50" s="40"/>
      <c r="AN50" s="40"/>
      <c r="AP50" s="40"/>
      <c r="AR50" s="40"/>
      <c r="AT50" s="40"/>
      <c r="AV50" s="40"/>
      <c r="AX50" s="40"/>
      <c r="AZ50" s="40"/>
      <c r="BB50" s="40"/>
      <c r="BD50" s="40"/>
      <c r="BF50" s="40"/>
      <c r="BH50" s="40"/>
    </row>
    <row r="51" spans="1:67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</row>
    <row r="52" spans="1:67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</row>
    <row r="53" spans="1:67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</row>
    <row r="54" spans="1:6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</row>
    <row r="55" spans="1:6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</row>
    <row r="56" spans="1:67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</row>
    <row r="57" spans="1:67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</row>
    <row r="58" spans="1:67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</row>
    <row r="59" spans="1:67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</row>
    <row r="60" spans="1:67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</row>
  </sheetData>
  <customSheetViews>
    <customSheetView guid="{6CC4FA47-4F74-48A0-8033-8683B05A3BC4}">
      <selection activeCell="E13" sqref="E13"/>
      <pageMargins left="0.7" right="0.7" top="0.75" bottom="0.75" header="0.3" footer="0.3"/>
      <pageSetup paperSize="9" orientation="portrait" r:id="rId1"/>
    </customSheetView>
    <customSheetView guid="{293A8923-ED08-4701-85A2-A97D5F3D44EF}" fitToPage="1" printArea="1" hiddenRows="1" hiddenColumns="1" topLeftCell="A8">
      <selection activeCell="AR22" sqref="AR22"/>
      <pageMargins left="0.7" right="0.7" top="0.75" bottom="0.75" header="0.3" footer="0.3"/>
      <pageSetup paperSize="9" scale="89" orientation="portrait" r:id="rId2"/>
    </customSheetView>
  </customSheetViews>
  <phoneticPr fontId="1" type="noConversion"/>
  <pageMargins left="0.7" right="0.7" top="0.75" bottom="0.75" header="0.3" footer="0.3"/>
  <pageSetup paperSize="9" scale="8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T11" sqref="AT11"/>
    </sheetView>
  </sheetViews>
  <sheetFormatPr defaultColWidth="9" defaultRowHeight="15.75" outlineLevelCol="1"/>
  <cols>
    <col min="1" max="1" width="50.375" style="12" customWidth="1"/>
    <col min="2" max="2" width="4.5" style="15" customWidth="1"/>
    <col min="3" max="3" width="13.375" style="20" customWidth="1"/>
    <col min="4" max="4" width="13.375" style="20" customWidth="1" outlineLevel="1"/>
    <col min="5" max="5" width="15.75" style="20" customWidth="1" outlineLevel="1"/>
    <col min="6" max="7" width="15.75" style="20" hidden="1" customWidth="1" outlineLevel="1"/>
    <col min="8" max="8" width="15.75" style="20" customWidth="1" collapsed="1"/>
    <col min="9" max="9" width="13.375" style="20" hidden="1" customWidth="1" outlineLevel="1" collapsed="1"/>
    <col min="10" max="10" width="15.25" style="20" hidden="1" customWidth="1" outlineLevel="1"/>
    <col min="11" max="11" width="15.25" style="102" hidden="1" customWidth="1" outlineLevel="1"/>
    <col min="12" max="12" width="11.75" style="102" hidden="1" customWidth="1" outlineLevel="1"/>
    <col min="13" max="14" width="15.25" style="102" hidden="1" customWidth="1" outlineLevel="1"/>
    <col min="15" max="15" width="13" style="102" hidden="1" customWidth="1" outlineLevel="1"/>
    <col min="16" max="19" width="15.25" style="102" hidden="1" customWidth="1" outlineLevel="1"/>
    <col min="20" max="20" width="13" style="102" hidden="1" customWidth="1" outlineLevel="1"/>
    <col min="21" max="24" width="15.25" style="102" hidden="1" customWidth="1" outlineLevel="1"/>
    <col min="25" max="25" width="13" style="102" hidden="1" customWidth="1" outlineLevel="1"/>
    <col min="26" max="29" width="15.25" style="102" hidden="1" customWidth="1" outlineLevel="1"/>
    <col min="30" max="30" width="13" style="102" hidden="1" customWidth="1" outlineLevel="1"/>
    <col min="31" max="34" width="15.25" style="102" hidden="1" customWidth="1" outlineLevel="1"/>
    <col min="35" max="35" width="13" style="102" hidden="1" customWidth="1" outlineLevel="1"/>
    <col min="36" max="41" width="15.25" style="102" hidden="1" customWidth="1" outlineLevel="1"/>
    <col min="42" max="43" width="15.25" style="103" hidden="1" customWidth="1" outlineLevel="1"/>
    <col min="44" max="44" width="12.25" style="103" hidden="1" customWidth="1" outlineLevel="1"/>
    <col min="45" max="45" width="12.25" style="12" customWidth="1" collapsed="1"/>
    <col min="46" max="47" width="12.25" style="12" customWidth="1"/>
    <col min="48" max="48" width="9" style="12" customWidth="1"/>
    <col min="49" max="49" width="9" style="12" customWidth="1" collapsed="1"/>
    <col min="50" max="16384" width="9" style="12"/>
  </cols>
  <sheetData>
    <row r="1" spans="1:44" ht="75.75" customHeight="1"/>
    <row r="2" spans="1:44" ht="17.25" thickBot="1">
      <c r="A2" s="56" t="s">
        <v>62</v>
      </c>
      <c r="B2" s="16"/>
      <c r="C2" s="71" t="s">
        <v>217</v>
      </c>
      <c r="D2" s="71" t="s">
        <v>211</v>
      </c>
      <c r="E2" s="71" t="s">
        <v>212</v>
      </c>
      <c r="F2" s="71" t="s">
        <v>209</v>
      </c>
      <c r="G2" s="71" t="s">
        <v>204</v>
      </c>
      <c r="H2" s="71" t="s">
        <v>195</v>
      </c>
      <c r="I2" s="71" t="s">
        <v>177</v>
      </c>
      <c r="J2" s="71" t="s">
        <v>178</v>
      </c>
      <c r="K2" s="104" t="s">
        <v>174</v>
      </c>
      <c r="L2" s="104" t="s">
        <v>207</v>
      </c>
      <c r="M2" s="104" t="s">
        <v>172</v>
      </c>
      <c r="N2" s="104" t="s">
        <v>167</v>
      </c>
      <c r="O2" s="104" t="s">
        <v>164</v>
      </c>
      <c r="P2" s="104" t="s">
        <v>163</v>
      </c>
      <c r="Q2" s="104" t="s">
        <v>158</v>
      </c>
      <c r="R2" s="104" t="s">
        <v>157</v>
      </c>
      <c r="S2" s="104" t="s">
        <v>154</v>
      </c>
      <c r="T2" s="104" t="s">
        <v>142</v>
      </c>
      <c r="U2" s="104" t="s">
        <v>141</v>
      </c>
      <c r="V2" s="104" t="s">
        <v>139</v>
      </c>
      <c r="W2" s="104" t="s">
        <v>136</v>
      </c>
      <c r="X2" s="104" t="s">
        <v>134</v>
      </c>
      <c r="Y2" s="104" t="s">
        <v>121</v>
      </c>
      <c r="Z2" s="104" t="s">
        <v>120</v>
      </c>
      <c r="AA2" s="104" t="s">
        <v>118</v>
      </c>
      <c r="AB2" s="104" t="s">
        <v>112</v>
      </c>
      <c r="AC2" s="104" t="s">
        <v>133</v>
      </c>
      <c r="AD2" s="104" t="s">
        <v>105</v>
      </c>
      <c r="AE2" s="104" t="s">
        <v>106</v>
      </c>
      <c r="AF2" s="104" t="s">
        <v>102</v>
      </c>
      <c r="AG2" s="104" t="s">
        <v>99</v>
      </c>
      <c r="AH2" s="104" t="s">
        <v>96</v>
      </c>
      <c r="AI2" s="104" t="s">
        <v>82</v>
      </c>
      <c r="AJ2" s="104" t="s">
        <v>81</v>
      </c>
      <c r="AK2" s="104" t="s">
        <v>77</v>
      </c>
      <c r="AL2" s="104" t="s">
        <v>68</v>
      </c>
      <c r="AM2" s="104" t="s">
        <v>17</v>
      </c>
      <c r="AN2" s="104" t="s">
        <v>80</v>
      </c>
      <c r="AO2" s="105" t="s">
        <v>85</v>
      </c>
      <c r="AP2" s="105" t="s">
        <v>78</v>
      </c>
      <c r="AQ2" s="105" t="s">
        <v>73</v>
      </c>
      <c r="AR2" s="105" t="s">
        <v>18</v>
      </c>
    </row>
    <row r="3" spans="1:44" ht="16.5">
      <c r="A3" s="59" t="s">
        <v>64</v>
      </c>
      <c r="B3" s="16"/>
      <c r="C3" s="31"/>
      <c r="D3" s="31"/>
      <c r="E3" s="31"/>
      <c r="F3" s="31"/>
      <c r="G3" s="31"/>
      <c r="H3" s="31"/>
      <c r="I3" s="31"/>
      <c r="J3" s="31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</row>
    <row r="4" spans="1:44">
      <c r="A4" s="58" t="s">
        <v>37</v>
      </c>
      <c r="B4" s="16"/>
      <c r="C4" s="3">
        <v>-40464</v>
      </c>
      <c r="D4" s="3">
        <v>-389517</v>
      </c>
      <c r="E4" s="3">
        <v>-84551</v>
      </c>
      <c r="F4" s="3">
        <f>-304966-G4-H4</f>
        <v>-64185</v>
      </c>
      <c r="G4" s="3">
        <f>-240781+79098</f>
        <v>-161683</v>
      </c>
      <c r="H4" s="3">
        <v>-79098</v>
      </c>
      <c r="I4" s="3">
        <f>J4+K4+M4+N4</f>
        <v>-1011558</v>
      </c>
      <c r="J4" s="3">
        <f>-1011558-N4-M4-K4</f>
        <v>-352846</v>
      </c>
      <c r="K4" s="3">
        <f>-658712+185766+217145</f>
        <v>-255801</v>
      </c>
      <c r="L4" s="3">
        <f>M4+N4</f>
        <v>-402911</v>
      </c>
      <c r="M4" s="3">
        <f>-402911+185766</f>
        <v>-217145</v>
      </c>
      <c r="N4" s="3">
        <v>-185766</v>
      </c>
      <c r="O4" s="3">
        <f>P4+Q4+R4+S4</f>
        <v>-572629</v>
      </c>
      <c r="P4" s="3">
        <f>-572629-Q4-R4-S4</f>
        <v>-187001</v>
      </c>
      <c r="Q4" s="3">
        <f>-385628+119862+137671</f>
        <v>-128095</v>
      </c>
      <c r="R4" s="3">
        <f>-257533+137671</f>
        <v>-119862</v>
      </c>
      <c r="S4" s="3">
        <v>-137671</v>
      </c>
      <c r="T4" s="3">
        <f>U4+V4+W4+X4</f>
        <v>-626565</v>
      </c>
      <c r="U4" s="3">
        <f>-626565-V4-W4-X4</f>
        <v>-383712</v>
      </c>
      <c r="V4" s="3">
        <f>-242853+108947+30404</f>
        <v>-103502</v>
      </c>
      <c r="W4" s="3">
        <f>-139351+30404</f>
        <v>-108947</v>
      </c>
      <c r="X4" s="3">
        <f>-30404</f>
        <v>-30404</v>
      </c>
      <c r="Y4" s="3">
        <f>Z4+AA4+AB4+AC4</f>
        <v>-90344</v>
      </c>
      <c r="Z4" s="3">
        <f>-90344-AA4-AB4-AC4</f>
        <v>26331</v>
      </c>
      <c r="AA4" s="3">
        <v>34369</v>
      </c>
      <c r="AB4" s="3">
        <f>-151044-5560</f>
        <v>-156604</v>
      </c>
      <c r="AC4" s="3">
        <v>5560</v>
      </c>
      <c r="AD4" s="3">
        <v>312656</v>
      </c>
      <c r="AE4" s="3">
        <f>312656-275721</f>
        <v>36935</v>
      </c>
      <c r="AF4" s="3">
        <f>275721-141581</f>
        <v>134140</v>
      </c>
      <c r="AG4" s="3">
        <f>141581-92991</f>
        <v>48590</v>
      </c>
      <c r="AH4" s="3">
        <v>92991</v>
      </c>
      <c r="AI4" s="3">
        <f>1003654</f>
        <v>1003654</v>
      </c>
      <c r="AJ4" s="3">
        <f>AI4-SUM(AK4:AM4)</f>
        <v>95701</v>
      </c>
      <c r="AK4" s="3">
        <v>-4382</v>
      </c>
      <c r="AL4" s="3">
        <v>952900</v>
      </c>
      <c r="AM4" s="3">
        <v>-40565</v>
      </c>
      <c r="AN4" s="3">
        <v>977057</v>
      </c>
      <c r="AO4" s="3">
        <f>AN4-SUM(AP4:AR4)</f>
        <v>146416</v>
      </c>
      <c r="AP4" s="3">
        <v>236725</v>
      </c>
      <c r="AQ4" s="3">
        <v>265691</v>
      </c>
      <c r="AR4" s="3">
        <v>328225</v>
      </c>
    </row>
    <row r="5" spans="1:44">
      <c r="A5" s="58" t="s">
        <v>67</v>
      </c>
      <c r="B5" s="1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>
        <v>0</v>
      </c>
      <c r="AM5" s="3"/>
      <c r="AN5" s="3"/>
      <c r="AO5" s="3"/>
      <c r="AP5" s="3"/>
      <c r="AQ5" s="3"/>
      <c r="AR5" s="3"/>
    </row>
    <row r="6" spans="1:44">
      <c r="A6" s="58" t="s">
        <v>38</v>
      </c>
      <c r="B6" s="16"/>
      <c r="C6" s="3">
        <v>8611</v>
      </c>
      <c r="D6" s="3">
        <v>58696</v>
      </c>
      <c r="E6" s="3">
        <v>19707</v>
      </c>
      <c r="F6" s="3">
        <f>38989-G6-H6</f>
        <v>12481</v>
      </c>
      <c r="G6" s="3">
        <f>26508-14365</f>
        <v>12143</v>
      </c>
      <c r="H6" s="3">
        <v>14365</v>
      </c>
      <c r="I6" s="3">
        <f>J6+K6+M6+N6</f>
        <v>36514</v>
      </c>
      <c r="J6" s="3">
        <f>36514-SUM(K6,M6,N6)</f>
        <v>8029</v>
      </c>
      <c r="K6" s="3">
        <f>28485-9758-10089</f>
        <v>8638</v>
      </c>
      <c r="L6" s="3">
        <f>M6+N6</f>
        <v>19847</v>
      </c>
      <c r="M6" s="3">
        <f>19847-10089</f>
        <v>9758</v>
      </c>
      <c r="N6" s="3">
        <v>10089</v>
      </c>
      <c r="O6" s="3">
        <f>P6+Q6+R6+S6</f>
        <v>46769</v>
      </c>
      <c r="P6" s="3">
        <f>46769-Q6-S6-R6</f>
        <v>12170</v>
      </c>
      <c r="Q6" s="3">
        <f>34599-11628-11331</f>
        <v>11640</v>
      </c>
      <c r="R6" s="3">
        <f>22959-11331</f>
        <v>11628</v>
      </c>
      <c r="S6" s="3">
        <v>11331</v>
      </c>
      <c r="T6" s="3">
        <f>U6+V6+W6+X6</f>
        <v>50504</v>
      </c>
      <c r="U6" s="3">
        <f>50504-V6-W6-X6</f>
        <v>11850</v>
      </c>
      <c r="V6" s="3">
        <f>38654-13022-13317</f>
        <v>12315</v>
      </c>
      <c r="W6" s="3">
        <f>26336-13314</f>
        <v>13022</v>
      </c>
      <c r="X6" s="3">
        <v>13317</v>
      </c>
      <c r="Y6" s="3">
        <f>Z6+AA6+AB6+AC6</f>
        <v>50300</v>
      </c>
      <c r="Z6" s="3">
        <f>50300-AA6-AB6-AC6</f>
        <v>13178</v>
      </c>
      <c r="AA6" s="3">
        <f>37122-12240-11787</f>
        <v>13095</v>
      </c>
      <c r="AB6" s="3">
        <f>24027-11787</f>
        <v>12240</v>
      </c>
      <c r="AC6" s="3">
        <v>11787</v>
      </c>
      <c r="AD6" s="3">
        <v>45369</v>
      </c>
      <c r="AE6" s="3">
        <f>45369-34009</f>
        <v>11360</v>
      </c>
      <c r="AF6" s="3">
        <f>34009-22834</f>
        <v>11175</v>
      </c>
      <c r="AG6" s="3">
        <f>22834-11611</f>
        <v>11223</v>
      </c>
      <c r="AH6" s="3">
        <v>11611</v>
      </c>
      <c r="AI6" s="3">
        <v>46665</v>
      </c>
      <c r="AJ6" s="3">
        <f t="shared" ref="AJ6:AJ62" si="0">AI6-SUM(AK6:AM6)</f>
        <v>9741</v>
      </c>
      <c r="AK6" s="3">
        <v>11850</v>
      </c>
      <c r="AL6" s="3">
        <v>12496</v>
      </c>
      <c r="AM6" s="3">
        <v>12578</v>
      </c>
      <c r="AN6" s="3">
        <v>30882</v>
      </c>
      <c r="AO6" s="3">
        <f t="shared" ref="AO6:AO28" si="1">AN6-SUM(AP6:AR6)</f>
        <v>-14262</v>
      </c>
      <c r="AP6" s="3">
        <v>14416</v>
      </c>
      <c r="AQ6" s="3">
        <v>15575</v>
      </c>
      <c r="AR6" s="3">
        <v>15153</v>
      </c>
    </row>
    <row r="7" spans="1:44">
      <c r="A7" s="58" t="s">
        <v>39</v>
      </c>
      <c r="B7" s="16"/>
      <c r="C7" s="3">
        <v>25371</v>
      </c>
      <c r="D7" s="3">
        <v>105804</v>
      </c>
      <c r="E7" s="3">
        <v>31325</v>
      </c>
      <c r="F7" s="3">
        <f>74479-G7-H7</f>
        <v>25152</v>
      </c>
      <c r="G7" s="3">
        <f>49327-23539</f>
        <v>25788</v>
      </c>
      <c r="H7" s="3">
        <v>23539</v>
      </c>
      <c r="I7" s="3">
        <f>J7+K7+M7+N7</f>
        <v>115632</v>
      </c>
      <c r="J7" s="3">
        <f>115632-SUM(K7,M7:N7)</f>
        <v>28992</v>
      </c>
      <c r="K7" s="3">
        <f>86640-29860-28961</f>
        <v>27819</v>
      </c>
      <c r="L7" s="3">
        <f t="shared" ref="L7:L28" si="2">M7+N7</f>
        <v>58821</v>
      </c>
      <c r="M7" s="3">
        <f>58821-28961</f>
        <v>29860</v>
      </c>
      <c r="N7" s="3">
        <v>28961</v>
      </c>
      <c r="O7" s="3">
        <f t="shared" ref="M7:T28" si="3">P7+Q7+R7+S7</f>
        <v>127197</v>
      </c>
      <c r="P7" s="3">
        <f>127197-Q7-R7-S7</f>
        <v>30232</v>
      </c>
      <c r="Q7" s="3">
        <f>96965-32647-30243</f>
        <v>34075</v>
      </c>
      <c r="R7" s="3">
        <f>62890-30243</f>
        <v>32647</v>
      </c>
      <c r="S7" s="3">
        <v>30243</v>
      </c>
      <c r="T7" s="3">
        <f t="shared" si="3"/>
        <v>128129</v>
      </c>
      <c r="U7" s="3">
        <f>128129-V7-W7-X7</f>
        <v>29754</v>
      </c>
      <c r="V7" s="3">
        <f>98375-31360-36283</f>
        <v>30732</v>
      </c>
      <c r="W7" s="3">
        <f>67643-36283</f>
        <v>31360</v>
      </c>
      <c r="X7" s="3">
        <v>36283</v>
      </c>
      <c r="Y7" s="3">
        <f t="shared" ref="Y7:Y28" si="4">Z7+AA7+AB7+AC7</f>
        <v>129556</v>
      </c>
      <c r="Z7" s="3">
        <f>129556-AA7-AB7-AC7</f>
        <v>31463</v>
      </c>
      <c r="AA7" s="3">
        <f>98093-31940-33378</f>
        <v>32775</v>
      </c>
      <c r="AB7" s="3">
        <f>65318-33378</f>
        <v>31940</v>
      </c>
      <c r="AC7" s="3">
        <v>33378</v>
      </c>
      <c r="AD7" s="3">
        <v>118657</v>
      </c>
      <c r="AE7" s="3">
        <f>118657-87079</f>
        <v>31578</v>
      </c>
      <c r="AF7" s="3">
        <f>87079-60130</f>
        <v>26949</v>
      </c>
      <c r="AG7" s="3">
        <f>60130-31676</f>
        <v>28454</v>
      </c>
      <c r="AH7" s="3">
        <v>31676</v>
      </c>
      <c r="AI7" s="3">
        <v>120290</v>
      </c>
      <c r="AJ7" s="3">
        <f t="shared" si="0"/>
        <v>31950</v>
      </c>
      <c r="AK7" s="3">
        <v>28456</v>
      </c>
      <c r="AL7" s="3">
        <v>30338</v>
      </c>
      <c r="AM7" s="3">
        <v>29546</v>
      </c>
      <c r="AN7" s="3">
        <v>94235</v>
      </c>
      <c r="AO7" s="3">
        <f t="shared" si="1"/>
        <v>35491</v>
      </c>
      <c r="AP7" s="3">
        <v>20359</v>
      </c>
      <c r="AQ7" s="3">
        <v>18913</v>
      </c>
      <c r="AR7" s="3">
        <v>19472</v>
      </c>
    </row>
    <row r="8" spans="1:44">
      <c r="A8" s="97" t="s">
        <v>169</v>
      </c>
      <c r="B8" s="16"/>
      <c r="C8" s="3">
        <v>-7771</v>
      </c>
      <c r="D8" s="3">
        <v>-4121</v>
      </c>
      <c r="E8" s="3">
        <v>-9699</v>
      </c>
      <c r="F8" s="3">
        <f>5578-G8-H8</f>
        <v>11635</v>
      </c>
      <c r="G8" s="3">
        <f>-6057-78</f>
        <v>-6135</v>
      </c>
      <c r="H8" s="3">
        <v>78</v>
      </c>
      <c r="I8" s="3">
        <f>J8+K8+M8+N8</f>
        <v>27228</v>
      </c>
      <c r="J8" s="3">
        <f>27228-SUM(K8,M8:N8)</f>
        <v>23589</v>
      </c>
      <c r="K8" s="3">
        <f>3639-12-14</f>
        <v>3613</v>
      </c>
      <c r="L8" s="3">
        <f t="shared" si="2"/>
        <v>26</v>
      </c>
      <c r="M8" s="3">
        <f>26-14</f>
        <v>12</v>
      </c>
      <c r="N8" s="3">
        <v>14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>
      <c r="A9" s="58" t="s">
        <v>97</v>
      </c>
      <c r="B9" s="16"/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2"/>
        <v>0</v>
      </c>
      <c r="M9" s="3">
        <v>0</v>
      </c>
      <c r="N9" s="3">
        <v>0</v>
      </c>
      <c r="O9" s="3">
        <f t="shared" si="3"/>
        <v>0</v>
      </c>
      <c r="P9" s="3">
        <v>0</v>
      </c>
      <c r="Q9" s="3">
        <v>0</v>
      </c>
      <c r="R9" s="3">
        <f>0-430</f>
        <v>-430</v>
      </c>
      <c r="S9" s="3">
        <v>430</v>
      </c>
      <c r="T9" s="3">
        <f t="shared" si="3"/>
        <v>0</v>
      </c>
      <c r="U9" s="3">
        <v>-11196</v>
      </c>
      <c r="V9" s="3">
        <f>11196-11203</f>
        <v>-7</v>
      </c>
      <c r="W9" s="3">
        <f>11203</f>
        <v>11203</v>
      </c>
      <c r="X9" s="3">
        <v>0</v>
      </c>
      <c r="Y9" s="3">
        <f t="shared" si="4"/>
        <v>0</v>
      </c>
      <c r="Z9" s="3">
        <v>0</v>
      </c>
      <c r="AA9" s="3">
        <v>0</v>
      </c>
      <c r="AB9" s="3">
        <v>0</v>
      </c>
      <c r="AC9" s="3">
        <v>0</v>
      </c>
      <c r="AD9" s="3">
        <v>97</v>
      </c>
      <c r="AE9" s="3">
        <f>97-521</f>
        <v>-424</v>
      </c>
      <c r="AF9" s="3">
        <f>521-643</f>
        <v>-122</v>
      </c>
      <c r="AG9" s="3">
        <f>643-645</f>
        <v>-2</v>
      </c>
      <c r="AH9" s="3">
        <v>645</v>
      </c>
      <c r="AI9" s="3"/>
      <c r="AJ9" s="3"/>
      <c r="AK9" s="3"/>
      <c r="AL9" s="3">
        <v>0</v>
      </c>
      <c r="AM9" s="3"/>
      <c r="AN9" s="3"/>
      <c r="AO9" s="3"/>
      <c r="AP9" s="3"/>
      <c r="AQ9" s="3"/>
      <c r="AR9" s="3"/>
    </row>
    <row r="10" spans="1:44">
      <c r="A10" s="58" t="s">
        <v>63</v>
      </c>
      <c r="B10" s="16"/>
      <c r="C10" s="3">
        <v>290</v>
      </c>
      <c r="D10" s="3">
        <v>4888</v>
      </c>
      <c r="E10" s="3">
        <v>4671</v>
      </c>
      <c r="F10" s="3">
        <f>217-G10-H10</f>
        <v>991</v>
      </c>
      <c r="G10" s="3">
        <f>-774-1079</f>
        <v>-1853</v>
      </c>
      <c r="H10" s="3">
        <v>1079</v>
      </c>
      <c r="I10" s="3">
        <f t="shared" ref="I10:I16" si="5">J10+K10+M10+N10</f>
        <v>4626</v>
      </c>
      <c r="J10" s="3">
        <f>4626-SUM(K10,M10:N10)</f>
        <v>-35775</v>
      </c>
      <c r="K10" s="3">
        <f>-1587+41988-102665+526</f>
        <v>-61738</v>
      </c>
      <c r="L10" s="3">
        <f t="shared" si="2"/>
        <v>102139</v>
      </c>
      <c r="M10" s="3">
        <f>-658+102797+526</f>
        <v>102665</v>
      </c>
      <c r="N10" s="3">
        <v>-526</v>
      </c>
      <c r="O10" s="3">
        <f t="shared" si="3"/>
        <v>-3789</v>
      </c>
      <c r="P10" s="3">
        <f>-3789-Q10-R10-S10</f>
        <v>-1176</v>
      </c>
      <c r="Q10" s="3">
        <f>-2613+1562</f>
        <v>-1051</v>
      </c>
      <c r="R10" s="3">
        <f>-1562+818</f>
        <v>-744</v>
      </c>
      <c r="S10" s="3">
        <v>-818</v>
      </c>
      <c r="T10" s="3">
        <f t="shared" si="3"/>
        <v>-620</v>
      </c>
      <c r="U10" s="3">
        <f>-620-V10-W10-X10</f>
        <v>268</v>
      </c>
      <c r="V10" s="3">
        <f>-888-(-1113)-1107</f>
        <v>-882</v>
      </c>
      <c r="W10" s="3">
        <f>-6-1107</f>
        <v>-1113</v>
      </c>
      <c r="X10" s="3">
        <v>1107</v>
      </c>
      <c r="Y10" s="3">
        <f t="shared" si="4"/>
        <v>690</v>
      </c>
      <c r="Z10" s="3">
        <f>690-AA10-AB10-AC10</f>
        <v>42166</v>
      </c>
      <c r="AA10" s="3">
        <f>-3451-38025+53378-(134+54043)</f>
        <v>-42275</v>
      </c>
      <c r="AB10" s="3">
        <f>799-(134+54043)</f>
        <v>-53378</v>
      </c>
      <c r="AC10" s="3">
        <f>134+54043</f>
        <v>54177</v>
      </c>
      <c r="AD10" s="3">
        <v>-2515</v>
      </c>
      <c r="AE10" s="3">
        <f>-2515+2179</f>
        <v>-336</v>
      </c>
      <c r="AF10" s="3">
        <f>(-2179)-(-2647)</f>
        <v>468</v>
      </c>
      <c r="AG10" s="3">
        <f>(-2647)-(-6272+4010)</f>
        <v>-385</v>
      </c>
      <c r="AH10" s="3">
        <f>-6272+4010</f>
        <v>-2262</v>
      </c>
      <c r="AI10" s="3">
        <v>6465</v>
      </c>
      <c r="AJ10" s="3">
        <f t="shared" si="0"/>
        <v>7527</v>
      </c>
      <c r="AK10" s="3">
        <v>-1182</v>
      </c>
      <c r="AL10" s="3">
        <v>14</v>
      </c>
      <c r="AM10" s="3">
        <v>106</v>
      </c>
      <c r="AN10" s="3">
        <v>5592</v>
      </c>
      <c r="AO10" s="3">
        <f t="shared" si="1"/>
        <v>9208</v>
      </c>
      <c r="AP10" s="3">
        <v>-3477</v>
      </c>
      <c r="AQ10" s="3">
        <v>19</v>
      </c>
      <c r="AR10" s="3">
        <v>-158</v>
      </c>
    </row>
    <row r="11" spans="1:44">
      <c r="A11" s="58" t="s">
        <v>40</v>
      </c>
      <c r="B11" s="16"/>
      <c r="C11" s="3">
        <v>202</v>
      </c>
      <c r="D11" s="3">
        <v>1215</v>
      </c>
      <c r="E11" s="3">
        <v>219</v>
      </c>
      <c r="F11" s="3">
        <f>996-G11-H11</f>
        <v>229</v>
      </c>
      <c r="G11" s="3">
        <f>767-372</f>
        <v>395</v>
      </c>
      <c r="H11" s="3">
        <v>372</v>
      </c>
      <c r="I11" s="3">
        <f t="shared" si="5"/>
        <v>238</v>
      </c>
      <c r="J11" s="3">
        <f>238-SUM(K11,N11,M11)</f>
        <v>3</v>
      </c>
      <c r="K11" s="3">
        <f>235-68-10</f>
        <v>157</v>
      </c>
      <c r="L11" s="3">
        <f t="shared" si="2"/>
        <v>78</v>
      </c>
      <c r="M11" s="3">
        <f>78-10</f>
        <v>68</v>
      </c>
      <c r="N11" s="3">
        <v>10</v>
      </c>
      <c r="O11" s="3">
        <f t="shared" si="3"/>
        <v>12</v>
      </c>
      <c r="P11" s="3">
        <f>12-Q11-R11-S11</f>
        <v>3</v>
      </c>
      <c r="Q11" s="3">
        <f>9-6</f>
        <v>3</v>
      </c>
      <c r="R11" s="3">
        <f>6-3</f>
        <v>3</v>
      </c>
      <c r="S11" s="3">
        <v>3</v>
      </c>
      <c r="T11" s="3">
        <f t="shared" si="3"/>
        <v>12</v>
      </c>
      <c r="U11" s="3">
        <f>12-V11-W11-X11</f>
        <v>2</v>
      </c>
      <c r="V11" s="3">
        <f>10-4-3</f>
        <v>3</v>
      </c>
      <c r="W11" s="3">
        <f>7-3</f>
        <v>4</v>
      </c>
      <c r="X11" s="3">
        <v>3</v>
      </c>
      <c r="Y11" s="3">
        <f t="shared" si="4"/>
        <v>95</v>
      </c>
      <c r="Z11" s="3">
        <f>95-AA11-AB11-AC11</f>
        <v>4</v>
      </c>
      <c r="AA11" s="3">
        <f>91-66-21</f>
        <v>4</v>
      </c>
      <c r="AB11" s="3">
        <f>87-21</f>
        <v>66</v>
      </c>
      <c r="AC11" s="3">
        <v>21</v>
      </c>
      <c r="AD11" s="3">
        <v>42</v>
      </c>
      <c r="AE11" s="3">
        <f>42-26</f>
        <v>16</v>
      </c>
      <c r="AF11" s="3">
        <f>26-24</f>
        <v>2</v>
      </c>
      <c r="AG11" s="3">
        <f>24-16</f>
        <v>8</v>
      </c>
      <c r="AH11" s="3">
        <v>16</v>
      </c>
      <c r="AI11" s="3">
        <v>80</v>
      </c>
      <c r="AJ11" s="3">
        <f t="shared" si="0"/>
        <v>16</v>
      </c>
      <c r="AK11" s="3">
        <v>16</v>
      </c>
      <c r="AL11" s="3">
        <v>16</v>
      </c>
      <c r="AM11" s="3">
        <v>32</v>
      </c>
      <c r="AN11" s="3">
        <v>244</v>
      </c>
      <c r="AO11" s="3">
        <f t="shared" si="1"/>
        <v>29</v>
      </c>
      <c r="AP11" s="3">
        <v>35</v>
      </c>
      <c r="AQ11" s="3">
        <v>118</v>
      </c>
      <c r="AR11" s="3">
        <v>62</v>
      </c>
    </row>
    <row r="12" spans="1:44">
      <c r="A12" s="58" t="s">
        <v>41</v>
      </c>
      <c r="B12" s="16"/>
      <c r="C12" s="3">
        <v>-3190</v>
      </c>
      <c r="D12" s="3">
        <v>-22317</v>
      </c>
      <c r="E12" s="3">
        <v>-4243</v>
      </c>
      <c r="F12" s="3">
        <f>-18074-G12-H12</f>
        <v>-4974</v>
      </c>
      <c r="G12" s="3">
        <f>-13100+6799</f>
        <v>-6301</v>
      </c>
      <c r="H12" s="3">
        <v>-6799</v>
      </c>
      <c r="I12" s="3">
        <f t="shared" si="5"/>
        <v>-27309</v>
      </c>
      <c r="J12" s="3">
        <f>-27309-SUM(M12,N12,K12)</f>
        <v>-6917</v>
      </c>
      <c r="K12" s="3">
        <f>-20392+6343+7744</f>
        <v>-6305</v>
      </c>
      <c r="L12" s="3">
        <f t="shared" si="2"/>
        <v>-14087</v>
      </c>
      <c r="M12" s="3">
        <f>-14087+7744</f>
        <v>-6343</v>
      </c>
      <c r="N12" s="3">
        <v>-7744</v>
      </c>
      <c r="O12" s="3">
        <f t="shared" si="3"/>
        <v>-33919</v>
      </c>
      <c r="P12" s="3">
        <f>-33919-Q12-R12-S12</f>
        <v>-7692</v>
      </c>
      <c r="Q12" s="3">
        <f>-26227+17609</f>
        <v>-8618</v>
      </c>
      <c r="R12" s="3">
        <f>-17609+8718</f>
        <v>-8891</v>
      </c>
      <c r="S12" s="3">
        <v>-8718</v>
      </c>
      <c r="T12" s="3">
        <f t="shared" si="3"/>
        <v>-42938</v>
      </c>
      <c r="U12" s="3">
        <f>-42938-V12-W12-X12</f>
        <v>-8388</v>
      </c>
      <c r="V12" s="3">
        <f>-34550-(-11102)-(-12154)</f>
        <v>-11294</v>
      </c>
      <c r="W12" s="3">
        <f>-23256+12154</f>
        <v>-11102</v>
      </c>
      <c r="X12" s="3">
        <v>-12154</v>
      </c>
      <c r="Y12" s="3">
        <f t="shared" si="4"/>
        <v>-53959</v>
      </c>
      <c r="Z12" s="3">
        <f>-53959-AA12-AB12-AC12</f>
        <v>-11866</v>
      </c>
      <c r="AA12" s="3">
        <f>-42093+14430-(-15196)</f>
        <v>-12467</v>
      </c>
      <c r="AB12" s="3">
        <f>-29626-(-15196)</f>
        <v>-14430</v>
      </c>
      <c r="AC12" s="3">
        <v>-15196</v>
      </c>
      <c r="AD12" s="3">
        <v>-61703</v>
      </c>
      <c r="AE12" s="3">
        <f>-61703+46579</f>
        <v>-15124</v>
      </c>
      <c r="AF12" s="3">
        <f>(-46579)-(-32056)</f>
        <v>-14523</v>
      </c>
      <c r="AG12" s="3">
        <f>-32056-(-15385)</f>
        <v>-16671</v>
      </c>
      <c r="AH12" s="3">
        <v>-15385</v>
      </c>
      <c r="AI12" s="3">
        <v>-54189</v>
      </c>
      <c r="AJ12" s="3">
        <f t="shared" si="0"/>
        <v>-17490</v>
      </c>
      <c r="AK12" s="3">
        <v>-13187</v>
      </c>
      <c r="AL12" s="3">
        <v>-13636</v>
      </c>
      <c r="AM12" s="3">
        <v>-9876</v>
      </c>
      <c r="AN12" s="3">
        <v>-43521</v>
      </c>
      <c r="AO12" s="3">
        <f t="shared" si="1"/>
        <v>-10885</v>
      </c>
      <c r="AP12" s="3">
        <v>-11030</v>
      </c>
      <c r="AQ12" s="3">
        <v>-11195</v>
      </c>
      <c r="AR12" s="3">
        <v>-10411</v>
      </c>
    </row>
    <row r="13" spans="1:44">
      <c r="A13" s="58" t="s">
        <v>83</v>
      </c>
      <c r="B13" s="16"/>
      <c r="C13" s="3">
        <v>0</v>
      </c>
      <c r="D13" s="3">
        <v>-66</v>
      </c>
      <c r="E13" s="3">
        <v>450</v>
      </c>
      <c r="F13" s="3">
        <f>-516-G13-H13</f>
        <v>-216</v>
      </c>
      <c r="G13" s="3">
        <f>-300+150</f>
        <v>-150</v>
      </c>
      <c r="H13" s="3">
        <v>-150</v>
      </c>
      <c r="I13" s="3">
        <f t="shared" si="5"/>
        <v>-1052</v>
      </c>
      <c r="J13" s="3">
        <f>-1052-SUM(K13,M13:N13)</f>
        <v>-150</v>
      </c>
      <c r="K13" s="3">
        <f>-902+332+333</f>
        <v>-237</v>
      </c>
      <c r="L13" s="3">
        <f t="shared" si="2"/>
        <v>-665</v>
      </c>
      <c r="M13" s="3">
        <f>-665+333</f>
        <v>-332</v>
      </c>
      <c r="N13" s="3">
        <v>-333</v>
      </c>
      <c r="O13" s="3">
        <f t="shared" si="3"/>
        <v>-1809</v>
      </c>
      <c r="P13" s="3">
        <f>-1809-Q13-R13-S13</f>
        <v>-489</v>
      </c>
      <c r="Q13" s="3">
        <f>-1320+627</f>
        <v>-693</v>
      </c>
      <c r="R13" s="3">
        <f>-627+150</f>
        <v>-477</v>
      </c>
      <c r="S13" s="3">
        <v>-150</v>
      </c>
      <c r="T13" s="3">
        <f t="shared" si="3"/>
        <v>-25</v>
      </c>
      <c r="U13" s="3">
        <v>0</v>
      </c>
      <c r="V13" s="3">
        <v>-25</v>
      </c>
      <c r="W13" s="3">
        <v>0</v>
      </c>
      <c r="X13" s="3">
        <v>0</v>
      </c>
      <c r="Y13" s="3">
        <f t="shared" si="4"/>
        <v>-42</v>
      </c>
      <c r="Z13" s="3">
        <f>-42-AA13-AB13-AC13</f>
        <v>0</v>
      </c>
      <c r="AA13" s="3">
        <v>-42</v>
      </c>
      <c r="AB13" s="3">
        <v>0</v>
      </c>
      <c r="AC13" s="3">
        <v>0</v>
      </c>
      <c r="AD13" s="3">
        <v>-50</v>
      </c>
      <c r="AE13" s="3">
        <f>-50+50</f>
        <v>0</v>
      </c>
      <c r="AF13" s="3">
        <v>-50</v>
      </c>
      <c r="AG13" s="3">
        <v>0</v>
      </c>
      <c r="AH13" s="3">
        <v>0</v>
      </c>
      <c r="AI13" s="3">
        <v>-91</v>
      </c>
      <c r="AJ13" s="3">
        <f t="shared" si="0"/>
        <v>0</v>
      </c>
      <c r="AK13" s="3">
        <v>-91</v>
      </c>
      <c r="AL13" s="3">
        <v>0</v>
      </c>
      <c r="AM13" s="3">
        <v>0</v>
      </c>
      <c r="AN13" s="3">
        <v>-124</v>
      </c>
      <c r="AO13" s="3">
        <f t="shared" si="1"/>
        <v>-124</v>
      </c>
      <c r="AP13" s="3">
        <v>0</v>
      </c>
      <c r="AQ13" s="3">
        <v>0</v>
      </c>
      <c r="AR13" s="3">
        <v>0</v>
      </c>
    </row>
    <row r="14" spans="1:44">
      <c r="A14" s="58" t="s">
        <v>42</v>
      </c>
      <c r="B14" s="16"/>
      <c r="C14" s="3">
        <v>2205</v>
      </c>
      <c r="D14" s="3">
        <v>3074</v>
      </c>
      <c r="E14" s="3">
        <v>1279</v>
      </c>
      <c r="F14" s="3">
        <f>1795-G14-H14</f>
        <v>203</v>
      </c>
      <c r="G14" s="3">
        <f>1592-233</f>
        <v>1359</v>
      </c>
      <c r="H14" s="3">
        <v>233</v>
      </c>
      <c r="I14" s="3">
        <f t="shared" si="5"/>
        <v>3144</v>
      </c>
      <c r="J14" s="3">
        <f>3144-SUM(K14,M14:N14)</f>
        <v>631</v>
      </c>
      <c r="K14" s="3">
        <f>2513-644-910</f>
        <v>959</v>
      </c>
      <c r="L14" s="3">
        <f t="shared" si="2"/>
        <v>1554</v>
      </c>
      <c r="M14" s="3">
        <f>1554-910</f>
        <v>644</v>
      </c>
      <c r="N14" s="3">
        <v>910</v>
      </c>
      <c r="O14" s="3">
        <f>P14+Q14+R14+S14</f>
        <v>16710</v>
      </c>
      <c r="P14" s="3">
        <f>16710-Q14-R14-S14</f>
        <v>863</v>
      </c>
      <c r="Q14" s="3">
        <f>15883-12876-36</f>
        <v>2971</v>
      </c>
      <c r="R14" s="3">
        <f>12876-4340</f>
        <v>8536</v>
      </c>
      <c r="S14" s="3">
        <v>4340</v>
      </c>
      <c r="T14" s="3">
        <f t="shared" si="3"/>
        <v>36700</v>
      </c>
      <c r="U14" s="3">
        <f>36700-V14-W14-X14</f>
        <v>6114</v>
      </c>
      <c r="V14" s="3">
        <f>30586-14061-8883</f>
        <v>7642</v>
      </c>
      <c r="W14" s="3">
        <f>22944-8883</f>
        <v>14061</v>
      </c>
      <c r="X14" s="3">
        <v>8883</v>
      </c>
      <c r="Y14" s="3">
        <f t="shared" si="4"/>
        <v>89904</v>
      </c>
      <c r="Z14" s="3">
        <f>89904-AA14-AB14-AC14</f>
        <v>16764</v>
      </c>
      <c r="AA14" s="3">
        <f>73140-27744-26867</f>
        <v>18529</v>
      </c>
      <c r="AB14" s="3">
        <f>54611-26867</f>
        <v>27744</v>
      </c>
      <c r="AC14" s="3">
        <v>26867</v>
      </c>
      <c r="AD14" s="3">
        <v>93694</v>
      </c>
      <c r="AE14" s="3">
        <f>93694-68228</f>
        <v>25466</v>
      </c>
      <c r="AF14" s="3">
        <f>68228-33737</f>
        <v>34491</v>
      </c>
      <c r="AG14" s="3">
        <f>33737-16868</f>
        <v>16869</v>
      </c>
      <c r="AH14" s="3">
        <v>16868</v>
      </c>
      <c r="AI14" s="3">
        <v>55411</v>
      </c>
      <c r="AJ14" s="3">
        <f t="shared" si="0"/>
        <v>16900</v>
      </c>
      <c r="AK14" s="3">
        <v>14445</v>
      </c>
      <c r="AL14" s="3">
        <v>12033</v>
      </c>
      <c r="AM14" s="3">
        <v>12033</v>
      </c>
      <c r="AN14" s="3">
        <v>20824</v>
      </c>
      <c r="AO14" s="3">
        <f t="shared" si="1"/>
        <v>11904</v>
      </c>
      <c r="AP14" s="3">
        <v>6192</v>
      </c>
      <c r="AQ14" s="3">
        <v>0</v>
      </c>
      <c r="AR14" s="3">
        <v>2728</v>
      </c>
    </row>
    <row r="15" spans="1:44" ht="17.25" customHeight="1">
      <c r="A15" s="58" t="s">
        <v>43</v>
      </c>
      <c r="B15" s="16"/>
      <c r="C15" s="3">
        <v>-13</v>
      </c>
      <c r="D15" s="3">
        <v>-51</v>
      </c>
      <c r="E15" s="3">
        <v>-11</v>
      </c>
      <c r="F15" s="3">
        <f>-40-G15-H15</f>
        <v>-13</v>
      </c>
      <c r="G15" s="3">
        <f>-27+13</f>
        <v>-14</v>
      </c>
      <c r="H15" s="3">
        <v>-13</v>
      </c>
      <c r="I15" s="3">
        <f t="shared" si="5"/>
        <v>48</v>
      </c>
      <c r="J15" s="3">
        <f>48-SUM(K15,M15:N15)</f>
        <v>-37</v>
      </c>
      <c r="K15" s="3">
        <f>85-3-122</f>
        <v>-40</v>
      </c>
      <c r="L15" s="3">
        <f t="shared" si="2"/>
        <v>125</v>
      </c>
      <c r="M15" s="3">
        <f>125-122</f>
        <v>3</v>
      </c>
      <c r="N15" s="3">
        <v>122</v>
      </c>
      <c r="O15" s="3">
        <f t="shared" si="3"/>
        <v>60</v>
      </c>
      <c r="P15" s="3">
        <v>60</v>
      </c>
      <c r="Q15" s="3">
        <f t="shared" si="3"/>
        <v>0</v>
      </c>
      <c r="R15" s="3">
        <f t="shared" si="3"/>
        <v>0</v>
      </c>
      <c r="S15" s="3">
        <f t="shared" si="3"/>
        <v>0</v>
      </c>
      <c r="T15" s="3">
        <f t="shared" si="3"/>
        <v>0</v>
      </c>
      <c r="U15" s="3">
        <v>0</v>
      </c>
      <c r="V15" s="3">
        <v>0</v>
      </c>
      <c r="W15" s="3">
        <v>0</v>
      </c>
      <c r="X15" s="3">
        <v>0</v>
      </c>
      <c r="Y15" s="3">
        <f t="shared" si="4"/>
        <v>0</v>
      </c>
      <c r="Z15" s="3">
        <f>0-AA15-AB15-AC15</f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-282</v>
      </c>
      <c r="AJ15" s="3">
        <f t="shared" si="0"/>
        <v>300</v>
      </c>
      <c r="AK15" s="3">
        <v>-551</v>
      </c>
      <c r="AL15" s="3">
        <v>1540</v>
      </c>
      <c r="AM15" s="3">
        <v>-1571</v>
      </c>
      <c r="AN15" s="3">
        <v>2083</v>
      </c>
      <c r="AO15" s="3">
        <f t="shared" si="1"/>
        <v>1374</v>
      </c>
      <c r="AP15" s="3">
        <v>700</v>
      </c>
      <c r="AQ15" s="3">
        <v>2454</v>
      </c>
      <c r="AR15" s="3">
        <v>-2445</v>
      </c>
    </row>
    <row r="16" spans="1:44">
      <c r="A16" s="77" t="s">
        <v>87</v>
      </c>
      <c r="B16" s="16"/>
      <c r="C16" s="3">
        <v>-406</v>
      </c>
      <c r="D16" s="3">
        <v>357</v>
      </c>
      <c r="E16" s="3">
        <v>492</v>
      </c>
      <c r="F16" s="3">
        <f>-135-G16-H16</f>
        <v>200</v>
      </c>
      <c r="G16" s="3">
        <f>-335-43</f>
        <v>-378</v>
      </c>
      <c r="H16" s="3">
        <v>43</v>
      </c>
      <c r="I16" s="3">
        <f t="shared" si="5"/>
        <v>-11</v>
      </c>
      <c r="J16" s="3">
        <f>-11-SUM(K16,M16:N16)</f>
        <v>-8</v>
      </c>
      <c r="K16" s="3">
        <f>-3</f>
        <v>-3</v>
      </c>
      <c r="L16" s="3">
        <f t="shared" si="2"/>
        <v>0</v>
      </c>
      <c r="M16" s="3">
        <v>0</v>
      </c>
      <c r="N16" s="3">
        <v>0</v>
      </c>
      <c r="O16" s="3">
        <f t="shared" si="3"/>
        <v>74</v>
      </c>
      <c r="P16" s="3">
        <f>74-Q16-R16-S16</f>
        <v>2</v>
      </c>
      <c r="Q16" s="3">
        <f>72-32</f>
        <v>40</v>
      </c>
      <c r="R16" s="3">
        <f>32+1</f>
        <v>33</v>
      </c>
      <c r="S16" s="3">
        <v>-1</v>
      </c>
      <c r="T16" s="3">
        <f t="shared" si="3"/>
        <v>534</v>
      </c>
      <c r="U16" s="3">
        <f>534-V16-W16-X16</f>
        <v>10</v>
      </c>
      <c r="V16" s="3">
        <f>524-152-379</f>
        <v>-7</v>
      </c>
      <c r="W16" s="3">
        <f>531-379</f>
        <v>152</v>
      </c>
      <c r="X16" s="3">
        <v>379</v>
      </c>
      <c r="Y16" s="3">
        <f t="shared" si="4"/>
        <v>340</v>
      </c>
      <c r="Z16" s="3">
        <f>340-AA16-AB16-AC16</f>
        <v>117</v>
      </c>
      <c r="AA16" s="3">
        <f>223-191-29</f>
        <v>3</v>
      </c>
      <c r="AB16" s="3">
        <f>220-29</f>
        <v>191</v>
      </c>
      <c r="AC16" s="3">
        <v>29</v>
      </c>
      <c r="AD16" s="3">
        <v>1512</v>
      </c>
      <c r="AE16" s="3">
        <f>1512-637</f>
        <v>875</v>
      </c>
      <c r="AF16" s="3">
        <f>637-520</f>
        <v>117</v>
      </c>
      <c r="AG16" s="3">
        <f>520-45</f>
        <v>475</v>
      </c>
      <c r="AH16" s="3">
        <v>45</v>
      </c>
      <c r="AI16" s="3">
        <f>1875-897111</f>
        <v>-895236</v>
      </c>
      <c r="AJ16" s="3">
        <f t="shared" si="0"/>
        <v>1663</v>
      </c>
      <c r="AK16" s="3">
        <v>44</v>
      </c>
      <c r="AL16" s="3">
        <v>-896945</v>
      </c>
      <c r="AM16" s="3">
        <v>2</v>
      </c>
      <c r="AN16" s="3">
        <v>39109</v>
      </c>
      <c r="AO16" s="3">
        <f t="shared" si="1"/>
        <v>38242</v>
      </c>
      <c r="AP16" s="3">
        <v>30</v>
      </c>
      <c r="AQ16" s="3">
        <v>755</v>
      </c>
      <c r="AR16" s="3">
        <v>82</v>
      </c>
    </row>
    <row r="17" spans="1:44">
      <c r="A17" s="58" t="s">
        <v>44</v>
      </c>
      <c r="B17" s="16"/>
      <c r="C17" s="3">
        <v>0</v>
      </c>
      <c r="D17" s="3">
        <v>0</v>
      </c>
      <c r="E17" s="3">
        <v>0</v>
      </c>
      <c r="F17" s="3">
        <f>G17+H17+I17+J17</f>
        <v>0</v>
      </c>
      <c r="G17" s="3">
        <f t="shared" ref="G17:G22" si="6">H17+I17+J17+K17</f>
        <v>0</v>
      </c>
      <c r="H17" s="3">
        <f>I17+J17+K17+M17</f>
        <v>0</v>
      </c>
      <c r="I17" s="3">
        <f t="shared" ref="I17:I28" si="7">J17+K17+M17+N17</f>
        <v>0</v>
      </c>
      <c r="J17" s="3">
        <v>0</v>
      </c>
      <c r="K17" s="3">
        <f>M17+N17+O17+P17</f>
        <v>0</v>
      </c>
      <c r="L17" s="3">
        <f t="shared" si="2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0</v>
      </c>
      <c r="R17" s="3">
        <f t="shared" si="3"/>
        <v>0</v>
      </c>
      <c r="S17" s="3">
        <f t="shared" si="3"/>
        <v>0</v>
      </c>
      <c r="T17" s="3">
        <f t="shared" si="3"/>
        <v>0</v>
      </c>
      <c r="U17" s="3">
        <v>0</v>
      </c>
      <c r="V17" s="3">
        <v>0</v>
      </c>
      <c r="W17" s="3">
        <v>0</v>
      </c>
      <c r="X17" s="3">
        <v>0</v>
      </c>
      <c r="Y17" s="3">
        <f t="shared" si="4"/>
        <v>0</v>
      </c>
      <c r="Z17" s="3">
        <f>0-AA17-AB17-AC17</f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3</v>
      </c>
      <c r="AK17" s="3">
        <v>0</v>
      </c>
      <c r="AL17" s="3">
        <v>0</v>
      </c>
      <c r="AM17" s="3">
        <v>-3</v>
      </c>
      <c r="AN17" s="3">
        <v>0</v>
      </c>
      <c r="AO17" s="3">
        <f t="shared" si="1"/>
        <v>0</v>
      </c>
      <c r="AP17" s="3">
        <v>0</v>
      </c>
      <c r="AQ17" s="3">
        <v>0</v>
      </c>
      <c r="AR17" s="3">
        <v>0</v>
      </c>
    </row>
    <row r="18" spans="1:44">
      <c r="A18" s="58" t="s">
        <v>45</v>
      </c>
      <c r="B18" s="16"/>
      <c r="C18" s="3">
        <v>0</v>
      </c>
      <c r="D18" s="3">
        <v>0</v>
      </c>
      <c r="E18" s="3">
        <v>0</v>
      </c>
      <c r="F18" s="3">
        <f>G18+H18+I18+J18</f>
        <v>0</v>
      </c>
      <c r="G18" s="3">
        <f t="shared" si="6"/>
        <v>0</v>
      </c>
      <c r="H18" s="3">
        <f>I18+J18+K18+M18</f>
        <v>0</v>
      </c>
      <c r="I18" s="3">
        <f t="shared" si="7"/>
        <v>0</v>
      </c>
      <c r="J18" s="3">
        <v>0</v>
      </c>
      <c r="K18" s="3">
        <f>M18+N18+O18+P18</f>
        <v>0</v>
      </c>
      <c r="L18" s="3">
        <f t="shared" si="2"/>
        <v>0</v>
      </c>
      <c r="M18" s="3">
        <f t="shared" si="3"/>
        <v>0</v>
      </c>
      <c r="N18" s="3">
        <f t="shared" si="3"/>
        <v>0</v>
      </c>
      <c r="O18" s="3">
        <f t="shared" si="3"/>
        <v>0</v>
      </c>
      <c r="P18" s="3">
        <v>0</v>
      </c>
      <c r="Q18" s="3">
        <v>0</v>
      </c>
      <c r="R18" s="3">
        <v>0</v>
      </c>
      <c r="S18" s="3">
        <v>0</v>
      </c>
      <c r="T18" s="3">
        <f t="shared" si="3"/>
        <v>-54</v>
      </c>
      <c r="U18" s="3">
        <f>-54-V18-W18-X18</f>
        <v>1</v>
      </c>
      <c r="V18" s="3">
        <f>-55-0-(-56)</f>
        <v>1</v>
      </c>
      <c r="W18" s="3">
        <v>0</v>
      </c>
      <c r="X18" s="3">
        <v>-56</v>
      </c>
      <c r="Y18" s="3">
        <f t="shared" si="4"/>
        <v>-23416</v>
      </c>
      <c r="Z18" s="3">
        <f>-23416-AA18-AB18-AC18</f>
        <v>-45</v>
      </c>
      <c r="AA18" s="3">
        <f>-23371-23+2991</f>
        <v>-20403</v>
      </c>
      <c r="AB18" s="3">
        <f>-2968-(-2991)</f>
        <v>23</v>
      </c>
      <c r="AC18" s="3">
        <v>-2991</v>
      </c>
      <c r="AD18" s="3">
        <v>-1702</v>
      </c>
      <c r="AE18" s="3">
        <f>-1702+1690</f>
        <v>-12</v>
      </c>
      <c r="AF18" s="3">
        <v>-1690</v>
      </c>
      <c r="AG18" s="3">
        <v>0</v>
      </c>
      <c r="AH18" s="3">
        <v>0</v>
      </c>
      <c r="AI18" s="3">
        <v>1140</v>
      </c>
      <c r="AJ18" s="3">
        <f t="shared" si="0"/>
        <v>1140</v>
      </c>
      <c r="AK18" s="3">
        <v>0</v>
      </c>
      <c r="AL18" s="3">
        <v>0</v>
      </c>
      <c r="AM18" s="3">
        <v>0</v>
      </c>
      <c r="AN18" s="3">
        <v>-10</v>
      </c>
      <c r="AO18" s="3">
        <f t="shared" si="1"/>
        <v>0</v>
      </c>
      <c r="AP18" s="3">
        <v>0</v>
      </c>
      <c r="AQ18" s="3">
        <v>0</v>
      </c>
      <c r="AR18" s="3">
        <v>-10</v>
      </c>
    </row>
    <row r="19" spans="1:44">
      <c r="A19" s="58" t="s">
        <v>113</v>
      </c>
      <c r="B19" s="16"/>
      <c r="C19" s="3">
        <v>0</v>
      </c>
      <c r="D19" s="3">
        <v>0</v>
      </c>
      <c r="E19" s="3">
        <v>0</v>
      </c>
      <c r="F19" s="3">
        <f>G19+H19+I19+J19</f>
        <v>0</v>
      </c>
      <c r="G19" s="3">
        <f t="shared" si="6"/>
        <v>0</v>
      </c>
      <c r="H19" s="3">
        <f>I19+J19+K19+M19</f>
        <v>0</v>
      </c>
      <c r="I19" s="3">
        <f t="shared" si="7"/>
        <v>0</v>
      </c>
      <c r="J19" s="3">
        <v>0</v>
      </c>
      <c r="K19" s="3">
        <f>M19+N19+O19+P19</f>
        <v>0</v>
      </c>
      <c r="L19" s="3">
        <f t="shared" si="2"/>
        <v>0</v>
      </c>
      <c r="M19" s="3">
        <f t="shared" si="3"/>
        <v>0</v>
      </c>
      <c r="N19" s="3">
        <f t="shared" si="3"/>
        <v>0</v>
      </c>
      <c r="O19" s="3">
        <f t="shared" si="3"/>
        <v>0</v>
      </c>
      <c r="P19" s="3">
        <v>0</v>
      </c>
      <c r="Q19" s="3">
        <v>0</v>
      </c>
      <c r="R19" s="3">
        <v>0</v>
      </c>
      <c r="S19" s="3">
        <v>0</v>
      </c>
      <c r="T19" s="3">
        <f t="shared" si="3"/>
        <v>810</v>
      </c>
      <c r="U19" s="3">
        <v>0</v>
      </c>
      <c r="V19" s="3">
        <f>810-193-510</f>
        <v>107</v>
      </c>
      <c r="W19" s="3">
        <f>703-510</f>
        <v>193</v>
      </c>
      <c r="X19" s="3">
        <v>510</v>
      </c>
      <c r="Y19" s="3">
        <f t="shared" si="4"/>
        <v>4479</v>
      </c>
      <c r="Z19" s="3">
        <f>4479-AA19-AB19-AC19</f>
        <v>0</v>
      </c>
      <c r="AA19" s="3">
        <v>4479</v>
      </c>
      <c r="AB19" s="3">
        <v>0</v>
      </c>
      <c r="AC19" s="3">
        <v>0</v>
      </c>
      <c r="AD19" s="3">
        <v>25965</v>
      </c>
      <c r="AE19" s="3">
        <f>25965-25965</f>
        <v>0</v>
      </c>
      <c r="AF19" s="3">
        <v>25965</v>
      </c>
      <c r="AG19" s="3">
        <v>0</v>
      </c>
      <c r="AH19" s="3">
        <v>0</v>
      </c>
      <c r="AI19" s="3"/>
      <c r="AJ19" s="3"/>
      <c r="AK19" s="3"/>
      <c r="AL19" s="3">
        <v>0</v>
      </c>
      <c r="AM19" s="3"/>
      <c r="AN19" s="3"/>
      <c r="AO19" s="3"/>
      <c r="AP19" s="3"/>
      <c r="AQ19" s="3"/>
      <c r="AR19" s="3"/>
    </row>
    <row r="20" spans="1:44">
      <c r="A20" s="58" t="s">
        <v>114</v>
      </c>
      <c r="B20" s="16"/>
      <c r="C20" s="3">
        <v>0</v>
      </c>
      <c r="D20" s="3">
        <v>0</v>
      </c>
      <c r="E20" s="3">
        <v>0</v>
      </c>
      <c r="F20" s="3">
        <f>G20+H20+I20+J20</f>
        <v>0</v>
      </c>
      <c r="G20" s="3">
        <f t="shared" si="6"/>
        <v>0</v>
      </c>
      <c r="H20" s="3">
        <f>I20+J20+K20+M20</f>
        <v>0</v>
      </c>
      <c r="I20" s="3">
        <f t="shared" si="7"/>
        <v>0</v>
      </c>
      <c r="J20" s="3">
        <v>0</v>
      </c>
      <c r="K20" s="3">
        <f>M20+N20+O20+P20</f>
        <v>0</v>
      </c>
      <c r="L20" s="3">
        <f t="shared" si="2"/>
        <v>0</v>
      </c>
      <c r="M20" s="3">
        <f t="shared" si="3"/>
        <v>0</v>
      </c>
      <c r="N20" s="3">
        <f t="shared" si="3"/>
        <v>0</v>
      </c>
      <c r="O20" s="3">
        <f t="shared" si="3"/>
        <v>0</v>
      </c>
      <c r="P20" s="3">
        <v>0</v>
      </c>
      <c r="Q20" s="3">
        <v>0</v>
      </c>
      <c r="R20" s="3">
        <v>0</v>
      </c>
      <c r="S20" s="3">
        <v>0</v>
      </c>
      <c r="T20" s="3">
        <f t="shared" si="3"/>
        <v>319236</v>
      </c>
      <c r="U20" s="3">
        <v>319236</v>
      </c>
      <c r="V20" s="3">
        <v>0</v>
      </c>
      <c r="W20" s="3">
        <v>0</v>
      </c>
      <c r="X20" s="3">
        <v>0</v>
      </c>
      <c r="Y20" s="3">
        <f t="shared" si="4"/>
        <v>0</v>
      </c>
      <c r="Z20" s="3">
        <f>0-AA20-AB20-AC20</f>
        <v>0</v>
      </c>
      <c r="AA20" s="3">
        <v>0</v>
      </c>
      <c r="AB20" s="3">
        <v>0</v>
      </c>
      <c r="AC20" s="3">
        <v>0</v>
      </c>
      <c r="AD20" s="3">
        <v>5269</v>
      </c>
      <c r="AE20" s="3">
        <v>5269</v>
      </c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>
      <c r="A21" s="58" t="s">
        <v>46</v>
      </c>
      <c r="B21" s="16"/>
      <c r="C21" s="3">
        <v>730</v>
      </c>
      <c r="D21" s="3">
        <v>-30</v>
      </c>
      <c r="E21" s="3">
        <v>-667</v>
      </c>
      <c r="F21" s="3">
        <f>637-G21-H21</f>
        <v>-928</v>
      </c>
      <c r="G21" s="3">
        <f>1565+1347</f>
        <v>2912</v>
      </c>
      <c r="H21" s="3">
        <v>-1347</v>
      </c>
      <c r="I21" s="3">
        <f t="shared" si="7"/>
        <v>-1985</v>
      </c>
      <c r="J21" s="3">
        <f>-1985-SUM(K21,M21:N21)</f>
        <v>-4526</v>
      </c>
      <c r="K21" s="3">
        <f>2541-1308+5331</f>
        <v>6564</v>
      </c>
      <c r="L21" s="3">
        <f t="shared" si="2"/>
        <v>-4023</v>
      </c>
      <c r="M21" s="3">
        <f>-4023+5331</f>
        <v>1308</v>
      </c>
      <c r="N21" s="3">
        <v>-5331</v>
      </c>
      <c r="O21" s="3">
        <f t="shared" si="3"/>
        <v>-3498</v>
      </c>
      <c r="P21" s="3">
        <f>-3498-Q21-R21-S21</f>
        <v>4629</v>
      </c>
      <c r="Q21" s="3">
        <f>-8127+7636</f>
        <v>-491</v>
      </c>
      <c r="R21" s="3">
        <f>-7636+4944</f>
        <v>-2692</v>
      </c>
      <c r="S21" s="3">
        <v>-4944</v>
      </c>
      <c r="T21" s="3">
        <f t="shared" si="3"/>
        <v>3839</v>
      </c>
      <c r="U21" s="3">
        <f>3839-V21-W21-X21</f>
        <v>3516</v>
      </c>
      <c r="V21" s="3">
        <f>323-3468-(-3753)</f>
        <v>608</v>
      </c>
      <c r="W21" s="3">
        <f>-285+3753</f>
        <v>3468</v>
      </c>
      <c r="X21" s="3">
        <v>-3753</v>
      </c>
      <c r="Y21" s="3">
        <f t="shared" si="4"/>
        <v>2809</v>
      </c>
      <c r="Z21" s="3">
        <f>2809-AA21-AB21-AC21</f>
        <v>5143</v>
      </c>
      <c r="AA21" s="3">
        <f>-2334+426-1472</f>
        <v>-3380</v>
      </c>
      <c r="AB21" s="3">
        <f>1046-1472</f>
        <v>-426</v>
      </c>
      <c r="AC21" s="3">
        <v>1472</v>
      </c>
      <c r="AD21" s="3">
        <v>-2426</v>
      </c>
      <c r="AE21" s="3">
        <f>-2426-1013</f>
        <v>-3439</v>
      </c>
      <c r="AF21" s="3">
        <f>1013-3176</f>
        <v>-2163</v>
      </c>
      <c r="AG21" s="3">
        <f>3176-190</f>
        <v>2986</v>
      </c>
      <c r="AH21" s="3">
        <v>190</v>
      </c>
      <c r="AI21" s="3">
        <v>-1492</v>
      </c>
      <c r="AJ21" s="3">
        <f t="shared" si="0"/>
        <v>-860</v>
      </c>
      <c r="AK21" s="3">
        <v>550</v>
      </c>
      <c r="AL21" s="3">
        <v>-820</v>
      </c>
      <c r="AM21" s="3">
        <v>-362</v>
      </c>
      <c r="AN21" s="3">
        <v>0</v>
      </c>
      <c r="AO21" s="3">
        <f t="shared" si="1"/>
        <v>0</v>
      </c>
      <c r="AP21" s="3">
        <v>0</v>
      </c>
      <c r="AQ21" s="3">
        <v>0</v>
      </c>
      <c r="AR21" s="3">
        <v>0</v>
      </c>
    </row>
    <row r="22" spans="1:44">
      <c r="A22" s="77" t="s">
        <v>86</v>
      </c>
      <c r="B22" s="16"/>
      <c r="C22" s="3">
        <v>0</v>
      </c>
      <c r="D22" s="3">
        <v>0</v>
      </c>
      <c r="E22" s="3">
        <v>0</v>
      </c>
      <c r="F22" s="3">
        <f>G22+H22+I22+J22</f>
        <v>0</v>
      </c>
      <c r="G22" s="3">
        <f t="shared" si="6"/>
        <v>0</v>
      </c>
      <c r="H22" s="3">
        <f>I22+J22+K22+M22</f>
        <v>0</v>
      </c>
      <c r="I22" s="3">
        <f t="shared" si="7"/>
        <v>0</v>
      </c>
      <c r="J22" s="3">
        <v>0</v>
      </c>
      <c r="K22" s="3">
        <f>M22+N22+O22+P22</f>
        <v>0</v>
      </c>
      <c r="L22" s="3">
        <f t="shared" si="2"/>
        <v>0</v>
      </c>
      <c r="M22" s="3">
        <f t="shared" si="3"/>
        <v>0</v>
      </c>
      <c r="N22" s="3">
        <f t="shared" si="3"/>
        <v>0</v>
      </c>
      <c r="O22" s="3">
        <f t="shared" si="3"/>
        <v>0</v>
      </c>
      <c r="P22" s="3">
        <f t="shared" si="3"/>
        <v>0</v>
      </c>
      <c r="Q22" s="3">
        <f t="shared" si="3"/>
        <v>0</v>
      </c>
      <c r="R22" s="3">
        <f t="shared" si="3"/>
        <v>0</v>
      </c>
      <c r="S22" s="3">
        <f t="shared" si="3"/>
        <v>0</v>
      </c>
      <c r="T22" s="3">
        <f t="shared" si="3"/>
        <v>0</v>
      </c>
      <c r="U22" s="3">
        <v>0</v>
      </c>
      <c r="V22" s="3">
        <v>0</v>
      </c>
      <c r="W22" s="3">
        <v>0</v>
      </c>
      <c r="X22" s="3">
        <v>0</v>
      </c>
      <c r="Y22" s="3">
        <f t="shared" si="4"/>
        <v>0</v>
      </c>
      <c r="Z22" s="3">
        <f>0-AA22-AB22-AC22</f>
        <v>0</v>
      </c>
      <c r="AA22" s="3">
        <v>0</v>
      </c>
      <c r="AB22" s="3">
        <v>0</v>
      </c>
      <c r="AC22" s="3">
        <v>0</v>
      </c>
      <c r="AD22" s="3"/>
      <c r="AE22" s="3">
        <v>0</v>
      </c>
      <c r="AF22" s="3">
        <v>0</v>
      </c>
      <c r="AG22" s="3">
        <v>0</v>
      </c>
      <c r="AH22" s="3">
        <v>0</v>
      </c>
      <c r="AI22" s="3"/>
      <c r="AJ22" s="3">
        <v>0</v>
      </c>
      <c r="AK22" s="3"/>
      <c r="AL22" s="3">
        <v>0</v>
      </c>
      <c r="AM22" s="3">
        <v>0</v>
      </c>
      <c r="AN22" s="3">
        <v>23937</v>
      </c>
      <c r="AO22" s="3">
        <f t="shared" si="1"/>
        <v>23937</v>
      </c>
      <c r="AP22" s="3"/>
      <c r="AQ22" s="66"/>
      <c r="AR22" s="66"/>
    </row>
    <row r="23" spans="1:44">
      <c r="A23" s="77" t="s">
        <v>65</v>
      </c>
      <c r="B23" s="16"/>
      <c r="C23" s="3">
        <v>-34408</v>
      </c>
      <c r="D23" s="3">
        <v>218191</v>
      </c>
      <c r="E23" s="3">
        <v>199055</v>
      </c>
      <c r="F23" s="3">
        <v>-50002</v>
      </c>
      <c r="G23" s="3">
        <v>115934</v>
      </c>
      <c r="H23" s="3">
        <v>-46796</v>
      </c>
      <c r="I23" s="3">
        <f t="shared" si="7"/>
        <v>491505</v>
      </c>
      <c r="J23" s="3">
        <v>290499</v>
      </c>
      <c r="K23" s="3">
        <v>472602</v>
      </c>
      <c r="L23" s="3">
        <f t="shared" si="2"/>
        <v>-271596</v>
      </c>
      <c r="M23" s="3">
        <f>-271596+24166</f>
        <v>-247430</v>
      </c>
      <c r="N23" s="3">
        <v>-24166</v>
      </c>
      <c r="O23" s="3">
        <f t="shared" si="3"/>
        <v>-383994</v>
      </c>
      <c r="P23" s="3">
        <v>-156764</v>
      </c>
      <c r="Q23" s="3">
        <v>-219217</v>
      </c>
      <c r="R23" s="3">
        <v>151053</v>
      </c>
      <c r="S23" s="3">
        <v>-159066</v>
      </c>
      <c r="T23" s="3">
        <f t="shared" si="3"/>
        <v>-18057</v>
      </c>
      <c r="U23" s="3">
        <v>107950</v>
      </c>
      <c r="V23" s="3">
        <v>25644</v>
      </c>
      <c r="W23" s="3">
        <v>-2851</v>
      </c>
      <c r="X23" s="3">
        <v>-148800</v>
      </c>
      <c r="Y23" s="3">
        <f t="shared" si="4"/>
        <v>-28478</v>
      </c>
      <c r="Z23" s="3">
        <v>10514</v>
      </c>
      <c r="AA23" s="3">
        <v>115408</v>
      </c>
      <c r="AB23" s="3">
        <v>-186611</v>
      </c>
      <c r="AC23" s="3">
        <v>32211</v>
      </c>
      <c r="AD23" s="3">
        <v>-351716</v>
      </c>
      <c r="AE23" s="3">
        <v>26065</v>
      </c>
      <c r="AF23" s="3">
        <f>(-377781)-(-143036)</f>
        <v>-234745</v>
      </c>
      <c r="AG23" s="3">
        <f>(-143036)-47902</f>
        <v>-190938</v>
      </c>
      <c r="AH23" s="3">
        <v>47902</v>
      </c>
      <c r="AI23" s="3">
        <v>-45490</v>
      </c>
      <c r="AJ23" s="3">
        <v>156318</v>
      </c>
      <c r="AK23" s="3">
        <v>-212929</v>
      </c>
      <c r="AL23" s="3">
        <v>-11410</v>
      </c>
      <c r="AM23" s="3">
        <v>22531</v>
      </c>
      <c r="AN23" s="3">
        <v>41691</v>
      </c>
      <c r="AO23" s="3">
        <f t="shared" si="1"/>
        <v>-28377</v>
      </c>
      <c r="AP23" s="3">
        <v>-342221</v>
      </c>
      <c r="AQ23" s="66">
        <v>145365</v>
      </c>
      <c r="AR23" s="66">
        <v>266924</v>
      </c>
    </row>
    <row r="24" spans="1:44" ht="16.5">
      <c r="A24" s="78" t="s">
        <v>66</v>
      </c>
      <c r="B24" s="68"/>
      <c r="C24" s="65">
        <f t="shared" ref="C24" si="8">SUM(C4:C23)</f>
        <v>-48843</v>
      </c>
      <c r="D24" s="65">
        <f t="shared" ref="D24:E24" si="9">SUM(D4:D23)</f>
        <v>-23877</v>
      </c>
      <c r="E24" s="65">
        <f t="shared" si="9"/>
        <v>158027</v>
      </c>
      <c r="F24" s="65">
        <f>SUM(F4:F23)</f>
        <v>-69427</v>
      </c>
      <c r="G24" s="65">
        <f>SUM(G4:G23)</f>
        <v>-17983</v>
      </c>
      <c r="H24" s="65">
        <f t="shared" ref="H24" si="10">SUM(H4:H23)</f>
        <v>-94494</v>
      </c>
      <c r="I24" s="65">
        <f t="shared" ref="I24" si="11">SUM(I4:I23)</f>
        <v>-362980</v>
      </c>
      <c r="J24" s="65">
        <f t="shared" ref="J24:L24" si="12">SUM(J4:J23)</f>
        <v>-48516</v>
      </c>
      <c r="K24" s="65">
        <f t="shared" si="12"/>
        <v>196228</v>
      </c>
      <c r="L24" s="65">
        <f t="shared" si="12"/>
        <v>-510692</v>
      </c>
      <c r="M24" s="65">
        <f t="shared" ref="M24:N24" si="13">SUM(M4:M23)</f>
        <v>-326932</v>
      </c>
      <c r="N24" s="65">
        <f t="shared" si="13"/>
        <v>-183760</v>
      </c>
      <c r="O24" s="65">
        <f t="shared" ref="O24:AR24" si="14">SUM(O4:O23)</f>
        <v>-808816</v>
      </c>
      <c r="P24" s="65">
        <f t="shared" si="14"/>
        <v>-305163</v>
      </c>
      <c r="Q24" s="65">
        <f t="shared" si="14"/>
        <v>-309436</v>
      </c>
      <c r="R24" s="65">
        <f t="shared" si="14"/>
        <v>70804</v>
      </c>
      <c r="S24" s="65">
        <f t="shared" si="14"/>
        <v>-265021</v>
      </c>
      <c r="T24" s="65">
        <f t="shared" si="14"/>
        <v>-148495</v>
      </c>
      <c r="U24" s="65">
        <f t="shared" si="14"/>
        <v>75405</v>
      </c>
      <c r="V24" s="65">
        <f t="shared" si="14"/>
        <v>-38665</v>
      </c>
      <c r="W24" s="65">
        <f t="shared" si="14"/>
        <v>-50550</v>
      </c>
      <c r="X24" s="65">
        <f t="shared" si="14"/>
        <v>-134685</v>
      </c>
      <c r="Y24" s="65">
        <f t="shared" si="14"/>
        <v>81934</v>
      </c>
      <c r="Z24" s="65">
        <f t="shared" si="14"/>
        <v>133769</v>
      </c>
      <c r="AA24" s="65">
        <f t="shared" si="14"/>
        <v>140095</v>
      </c>
      <c r="AB24" s="65">
        <f t="shared" si="14"/>
        <v>-339245</v>
      </c>
      <c r="AC24" s="65">
        <f t="shared" si="14"/>
        <v>147315</v>
      </c>
      <c r="AD24" s="65">
        <f t="shared" si="14"/>
        <v>183149</v>
      </c>
      <c r="AE24" s="65">
        <f t="shared" si="14"/>
        <v>118229</v>
      </c>
      <c r="AF24" s="65">
        <f t="shared" si="14"/>
        <v>-19986</v>
      </c>
      <c r="AG24" s="65">
        <f t="shared" si="14"/>
        <v>-99391</v>
      </c>
      <c r="AH24" s="65">
        <f t="shared" si="14"/>
        <v>184297</v>
      </c>
      <c r="AI24" s="65">
        <f t="shared" si="14"/>
        <v>236925</v>
      </c>
      <c r="AJ24" s="65">
        <f t="shared" si="14"/>
        <v>302909</v>
      </c>
      <c r="AK24" s="65">
        <f t="shared" si="14"/>
        <v>-176961</v>
      </c>
      <c r="AL24" s="65">
        <f t="shared" si="14"/>
        <v>86526</v>
      </c>
      <c r="AM24" s="65">
        <f t="shared" si="14"/>
        <v>24451</v>
      </c>
      <c r="AN24" s="65">
        <f t="shared" si="14"/>
        <v>1191999</v>
      </c>
      <c r="AO24" s="65">
        <f t="shared" si="14"/>
        <v>212953</v>
      </c>
      <c r="AP24" s="65">
        <f t="shared" si="14"/>
        <v>-78271</v>
      </c>
      <c r="AQ24" s="65">
        <f t="shared" si="14"/>
        <v>437695</v>
      </c>
      <c r="AR24" s="65">
        <f t="shared" si="14"/>
        <v>619622</v>
      </c>
    </row>
    <row r="25" spans="1:44">
      <c r="A25" s="77" t="s">
        <v>165</v>
      </c>
      <c r="B25" s="16"/>
      <c r="C25" s="3">
        <v>3190</v>
      </c>
      <c r="D25" s="3">
        <v>26822</v>
      </c>
      <c r="E25" s="3">
        <v>6173</v>
      </c>
      <c r="F25" s="3">
        <f>20649-G25-H25</f>
        <v>13043</v>
      </c>
      <c r="G25" s="3">
        <f>7606-3596</f>
        <v>4010</v>
      </c>
      <c r="H25" s="3">
        <v>3596</v>
      </c>
      <c r="I25" s="3">
        <f t="shared" si="7"/>
        <v>29105</v>
      </c>
      <c r="J25" s="3">
        <f>29105-SUM(K25,M25:N25)</f>
        <v>7100</v>
      </c>
      <c r="K25" s="3">
        <f>22005-7813-7983</f>
        <v>6209</v>
      </c>
      <c r="L25" s="3">
        <f t="shared" si="2"/>
        <v>15796</v>
      </c>
      <c r="M25" s="3">
        <f>15796-7983</f>
        <v>7813</v>
      </c>
      <c r="N25" s="3">
        <v>7983</v>
      </c>
      <c r="O25" s="3">
        <f t="shared" si="3"/>
        <v>36694</v>
      </c>
      <c r="P25" s="3">
        <f>36694-Q25-R25-S25</f>
        <v>11945</v>
      </c>
      <c r="Q25" s="3">
        <f>24749-18189</f>
        <v>6560</v>
      </c>
      <c r="R25" s="3">
        <f>18189-11029</f>
        <v>7160</v>
      </c>
      <c r="S25" s="3">
        <v>11029</v>
      </c>
      <c r="T25" s="3">
        <f t="shared" si="3"/>
        <v>46902</v>
      </c>
      <c r="U25" s="3">
        <f>46902-V25-W25-X25</f>
        <v>12813</v>
      </c>
      <c r="V25" s="3">
        <f>34089-8703-16447</f>
        <v>8939</v>
      </c>
      <c r="W25" s="3">
        <f>25150-16447</f>
        <v>8703</v>
      </c>
      <c r="X25" s="3">
        <v>16447</v>
      </c>
      <c r="Y25" s="3">
        <f t="shared" si="4"/>
        <v>55817</v>
      </c>
      <c r="Z25" s="3">
        <f>55817-AA25-AB25-AC25</f>
        <v>11277</v>
      </c>
      <c r="AA25" s="3">
        <f>44540-12196-18057</f>
        <v>14287</v>
      </c>
      <c r="AB25" s="3">
        <f>30253-18057</f>
        <v>12196</v>
      </c>
      <c r="AC25" s="3">
        <v>18057</v>
      </c>
      <c r="AD25" s="3">
        <v>63441</v>
      </c>
      <c r="AE25" s="3">
        <f>63441-45210</f>
        <v>18231</v>
      </c>
      <c r="AF25" s="3">
        <f>45210-31269</f>
        <v>13941</v>
      </c>
      <c r="AG25" s="3">
        <f>31269-17789</f>
        <v>13480</v>
      </c>
      <c r="AH25" s="3">
        <v>17789</v>
      </c>
      <c r="AI25" s="3">
        <f>53708</f>
        <v>53708</v>
      </c>
      <c r="AJ25" s="3">
        <f t="shared" si="0"/>
        <v>16425</v>
      </c>
      <c r="AK25" s="3">
        <v>15257</v>
      </c>
      <c r="AL25" s="3">
        <v>11571</v>
      </c>
      <c r="AM25" s="3">
        <v>10455</v>
      </c>
      <c r="AN25" s="3">
        <f>41699+124</f>
        <v>41823</v>
      </c>
      <c r="AO25" s="3">
        <f t="shared" si="1"/>
        <v>13371</v>
      </c>
      <c r="AP25" s="3">
        <v>8669</v>
      </c>
      <c r="AQ25" s="3">
        <v>8790</v>
      </c>
      <c r="AR25" s="3">
        <v>10993</v>
      </c>
    </row>
    <row r="26" spans="1:44">
      <c r="A26" s="77" t="s">
        <v>103</v>
      </c>
      <c r="B26" s="16"/>
      <c r="C26" s="3">
        <v>0</v>
      </c>
      <c r="D26" s="3">
        <v>66</v>
      </c>
      <c r="E26" s="3">
        <v>-450</v>
      </c>
      <c r="F26" s="3">
        <f>516-G26-H26</f>
        <v>216</v>
      </c>
      <c r="G26" s="3">
        <f>300-150</f>
        <v>150</v>
      </c>
      <c r="H26" s="3">
        <v>150</v>
      </c>
      <c r="I26" s="3">
        <f t="shared" si="7"/>
        <v>1052</v>
      </c>
      <c r="J26" s="3">
        <f>1052-SUM(K26,M26:N26)</f>
        <v>150</v>
      </c>
      <c r="K26" s="3">
        <f>902-332-333</f>
        <v>237</v>
      </c>
      <c r="L26" s="3">
        <f t="shared" si="2"/>
        <v>665</v>
      </c>
      <c r="M26" s="3">
        <f>665-333</f>
        <v>332</v>
      </c>
      <c r="N26" s="3">
        <v>333</v>
      </c>
      <c r="O26" s="3">
        <f t="shared" si="3"/>
        <v>1809</v>
      </c>
      <c r="P26" s="3">
        <f>1809-Q26-R26-S26</f>
        <v>489</v>
      </c>
      <c r="Q26" s="3">
        <f>1320-627</f>
        <v>693</v>
      </c>
      <c r="R26" s="3">
        <f>627-150</f>
        <v>477</v>
      </c>
      <c r="S26" s="3">
        <v>150</v>
      </c>
      <c r="T26" s="3">
        <f t="shared" si="3"/>
        <v>25</v>
      </c>
      <c r="U26" s="3">
        <v>0</v>
      </c>
      <c r="V26" s="3">
        <v>25</v>
      </c>
      <c r="W26" s="3">
        <v>0</v>
      </c>
      <c r="X26" s="3">
        <v>0</v>
      </c>
      <c r="Y26" s="3">
        <f t="shared" si="4"/>
        <v>42</v>
      </c>
      <c r="Z26" s="3">
        <f>42-AA26-AB26-AC26</f>
        <v>0</v>
      </c>
      <c r="AA26" s="3">
        <v>42</v>
      </c>
      <c r="AB26" s="3">
        <v>0</v>
      </c>
      <c r="AC26" s="3">
        <v>0</v>
      </c>
      <c r="AD26" s="3">
        <v>50</v>
      </c>
      <c r="AE26" s="3">
        <v>0</v>
      </c>
      <c r="AF26" s="3">
        <v>50</v>
      </c>
      <c r="AG26" s="3">
        <v>0</v>
      </c>
      <c r="AH26" s="3">
        <v>0</v>
      </c>
      <c r="AI26" s="3">
        <v>91</v>
      </c>
      <c r="AJ26" s="3">
        <v>0</v>
      </c>
      <c r="AK26" s="3">
        <v>91</v>
      </c>
      <c r="AL26" s="3">
        <v>0</v>
      </c>
      <c r="AM26" s="3"/>
      <c r="AN26" s="3"/>
      <c r="AO26" s="3"/>
      <c r="AP26" s="3"/>
      <c r="AQ26" s="3"/>
      <c r="AR26" s="3"/>
    </row>
    <row r="27" spans="1:44">
      <c r="A27" s="77" t="s">
        <v>47</v>
      </c>
      <c r="B27" s="16"/>
      <c r="C27" s="3">
        <v>-202</v>
      </c>
      <c r="D27" s="3">
        <v>-1215</v>
      </c>
      <c r="E27" s="3">
        <v>-219</v>
      </c>
      <c r="F27" s="3">
        <f>-996-G27-H27</f>
        <v>-229</v>
      </c>
      <c r="G27" s="3">
        <f>-767+372</f>
        <v>-395</v>
      </c>
      <c r="H27" s="3">
        <v>-372</v>
      </c>
      <c r="I27" s="3">
        <f t="shared" si="7"/>
        <v>-238</v>
      </c>
      <c r="J27" s="3">
        <f>-238-SUM(K27,M27:N27)</f>
        <v>-3</v>
      </c>
      <c r="K27" s="3">
        <f>-235+68+10</f>
        <v>-157</v>
      </c>
      <c r="L27" s="3">
        <f t="shared" si="2"/>
        <v>-78</v>
      </c>
      <c r="M27" s="3">
        <f>-78+10</f>
        <v>-68</v>
      </c>
      <c r="N27" s="3">
        <v>-10</v>
      </c>
      <c r="O27" s="3">
        <f t="shared" si="3"/>
        <v>-12</v>
      </c>
      <c r="P27" s="3">
        <f>-12-Q27-R27-S27</f>
        <v>-3</v>
      </c>
      <c r="Q27" s="3">
        <f>-9+3+3</f>
        <v>-3</v>
      </c>
      <c r="R27" s="3">
        <v>-3</v>
      </c>
      <c r="S27" s="3">
        <v>-3</v>
      </c>
      <c r="T27" s="3">
        <f t="shared" si="3"/>
        <v>-12</v>
      </c>
      <c r="U27" s="3">
        <f>-12-V27-W27-X27</f>
        <v>-2</v>
      </c>
      <c r="V27" s="3">
        <f>-10+4+3</f>
        <v>-3</v>
      </c>
      <c r="W27" s="3">
        <f>-7+3</f>
        <v>-4</v>
      </c>
      <c r="X27" s="3">
        <v>-3</v>
      </c>
      <c r="Y27" s="3">
        <f t="shared" si="4"/>
        <v>-95</v>
      </c>
      <c r="Z27" s="3">
        <f>-95-AA27-AB27-AC27</f>
        <v>-4</v>
      </c>
      <c r="AA27" s="3">
        <f>-91+66+21</f>
        <v>-4</v>
      </c>
      <c r="AB27" s="3">
        <f>-87-(-21)</f>
        <v>-66</v>
      </c>
      <c r="AC27" s="3">
        <v>-21</v>
      </c>
      <c r="AD27" s="3">
        <v>-42</v>
      </c>
      <c r="AE27" s="3">
        <f>-42+26</f>
        <v>-16</v>
      </c>
      <c r="AF27" s="3">
        <f>(-26)-(-24)</f>
        <v>-2</v>
      </c>
      <c r="AG27" s="3">
        <f>-24-(-16)</f>
        <v>-8</v>
      </c>
      <c r="AH27" s="3">
        <v>-16</v>
      </c>
      <c r="AI27" s="3">
        <v>-80</v>
      </c>
      <c r="AJ27" s="3">
        <f t="shared" si="0"/>
        <v>-16</v>
      </c>
      <c r="AK27" s="3">
        <v>-16</v>
      </c>
      <c r="AL27" s="3">
        <v>-16</v>
      </c>
      <c r="AM27" s="3">
        <v>-32</v>
      </c>
      <c r="AN27" s="3">
        <v>-244</v>
      </c>
      <c r="AO27" s="3">
        <f t="shared" si="1"/>
        <v>-29</v>
      </c>
      <c r="AP27" s="3">
        <v>-35</v>
      </c>
      <c r="AQ27" s="3">
        <v>-118</v>
      </c>
      <c r="AR27" s="3">
        <v>-62</v>
      </c>
    </row>
    <row r="28" spans="1:44">
      <c r="A28" s="79" t="s">
        <v>48</v>
      </c>
      <c r="B28" s="16"/>
      <c r="C28" s="3">
        <v>193</v>
      </c>
      <c r="D28" s="3">
        <v>-5323</v>
      </c>
      <c r="E28" s="3">
        <v>-5047</v>
      </c>
      <c r="F28" s="3">
        <f>-276-G28-H28</f>
        <v>-693</v>
      </c>
      <c r="G28" s="3">
        <f>417-3784</f>
        <v>-3367</v>
      </c>
      <c r="H28" s="3">
        <v>3784</v>
      </c>
      <c r="I28" s="3">
        <f t="shared" si="7"/>
        <v>-6700</v>
      </c>
      <c r="J28" s="3">
        <f>-6700-SUM(K28,M28:N28)</f>
        <v>-1046</v>
      </c>
      <c r="K28" s="3">
        <f>-5654+3886+3</f>
        <v>-1765</v>
      </c>
      <c r="L28" s="3">
        <f t="shared" si="2"/>
        <v>-3889</v>
      </c>
      <c r="M28" s="3">
        <f>-3889+3</f>
        <v>-3886</v>
      </c>
      <c r="N28" s="3">
        <v>-3</v>
      </c>
      <c r="O28" s="3">
        <f t="shared" si="3"/>
        <v>-10750</v>
      </c>
      <c r="P28" s="3">
        <f>-10750-Q28-R28-S28</f>
        <v>-2083</v>
      </c>
      <c r="Q28" s="3">
        <f>-8667+6739</f>
        <v>-1928</v>
      </c>
      <c r="R28" s="3">
        <f>-6739+7596</f>
        <v>857</v>
      </c>
      <c r="S28" s="3">
        <v>-7596</v>
      </c>
      <c r="T28" s="3">
        <f t="shared" si="3"/>
        <v>-21531</v>
      </c>
      <c r="U28" s="3">
        <f>-21531-V28-W28-X28</f>
        <v>3571</v>
      </c>
      <c r="V28" s="3">
        <f>-25102+5522+4705</f>
        <v>-14875</v>
      </c>
      <c r="W28" s="3">
        <f>-10227+4705</f>
        <v>-5522</v>
      </c>
      <c r="X28" s="3">
        <v>-4705</v>
      </c>
      <c r="Y28" s="3">
        <f t="shared" si="4"/>
        <v>-45292</v>
      </c>
      <c r="Z28" s="3">
        <f>-45292-AA28-AB28-AC28</f>
        <v>-8161</v>
      </c>
      <c r="AA28" s="3">
        <v>-1776</v>
      </c>
      <c r="AB28" s="3">
        <f>-35355-(-4083)</f>
        <v>-31272</v>
      </c>
      <c r="AC28" s="3">
        <v>-4083</v>
      </c>
      <c r="AD28" s="3">
        <v>-108199</v>
      </c>
      <c r="AE28" s="3">
        <f>-108199+103294</f>
        <v>-4905</v>
      </c>
      <c r="AF28" s="3">
        <f>(-103294)-(-67527)</f>
        <v>-35767</v>
      </c>
      <c r="AG28" s="3">
        <f>-67527-(-1239)</f>
        <v>-66288</v>
      </c>
      <c r="AH28" s="3">
        <v>-1239</v>
      </c>
      <c r="AI28" s="3">
        <v>-149582</v>
      </c>
      <c r="AJ28" s="3">
        <f t="shared" si="0"/>
        <v>-1893</v>
      </c>
      <c r="AK28" s="3">
        <v>-4591</v>
      </c>
      <c r="AL28" s="3">
        <v>-142835</v>
      </c>
      <c r="AM28" s="3">
        <v>-263</v>
      </c>
      <c r="AN28" s="3">
        <v>-129078</v>
      </c>
      <c r="AO28" s="3">
        <f t="shared" si="1"/>
        <v>-1349</v>
      </c>
      <c r="AP28" s="3">
        <v>-47963</v>
      </c>
      <c r="AQ28" s="3">
        <v>-79048</v>
      </c>
      <c r="AR28" s="3">
        <v>-718</v>
      </c>
    </row>
    <row r="29" spans="1:44" s="13" customFormat="1" ht="16.5">
      <c r="A29" s="78" t="s">
        <v>58</v>
      </c>
      <c r="B29" s="16"/>
      <c r="C29" s="65">
        <f t="shared" ref="C29" si="15">SUM(C24:C28)</f>
        <v>-45662</v>
      </c>
      <c r="D29" s="65">
        <f t="shared" ref="D29:E29" si="16">SUM(D24:D28)</f>
        <v>-3527</v>
      </c>
      <c r="E29" s="65">
        <f t="shared" si="16"/>
        <v>158484</v>
      </c>
      <c r="F29" s="65">
        <f t="shared" ref="F29" si="17">SUM(F24:F28)</f>
        <v>-57090</v>
      </c>
      <c r="G29" s="65">
        <f t="shared" ref="G29:H29" si="18">SUM(G24:G28)</f>
        <v>-17585</v>
      </c>
      <c r="H29" s="65">
        <f t="shared" si="18"/>
        <v>-87336</v>
      </c>
      <c r="I29" s="65">
        <f t="shared" ref="I29:J29" si="19">SUM(I24:I28)</f>
        <v>-339761</v>
      </c>
      <c r="J29" s="65">
        <f t="shared" si="19"/>
        <v>-42315</v>
      </c>
      <c r="K29" s="65">
        <f t="shared" ref="K29:M29" si="20">SUM(K24:K28)</f>
        <v>200752</v>
      </c>
      <c r="L29" s="65">
        <f t="shared" ref="L29" si="21">SUM(L24:L28)</f>
        <v>-498198</v>
      </c>
      <c r="M29" s="65">
        <f t="shared" si="20"/>
        <v>-322741</v>
      </c>
      <c r="N29" s="65">
        <f t="shared" ref="N29:O29" si="22">SUM(N24:N28)</f>
        <v>-175457</v>
      </c>
      <c r="O29" s="65">
        <f t="shared" si="22"/>
        <v>-781075</v>
      </c>
      <c r="P29" s="65">
        <f t="shared" ref="P29" si="23">SUM(P24:P28)</f>
        <v>-294815</v>
      </c>
      <c r="Q29" s="65">
        <f t="shared" ref="Q29:R29" si="24">SUM(Q24:Q28)</f>
        <v>-304114</v>
      </c>
      <c r="R29" s="65">
        <f t="shared" si="24"/>
        <v>79295</v>
      </c>
      <c r="S29" s="65">
        <f t="shared" ref="S29:T29" si="25">SUM(S24:S28)</f>
        <v>-261441</v>
      </c>
      <c r="T29" s="65">
        <f t="shared" si="25"/>
        <v>-123111</v>
      </c>
      <c r="U29" s="65">
        <f t="shared" ref="U29" si="26">SUM(U24:U28)</f>
        <v>91787</v>
      </c>
      <c r="V29" s="65">
        <f t="shared" ref="V29:W29" si="27">SUM(V24:V28)</f>
        <v>-44579</v>
      </c>
      <c r="W29" s="65">
        <f t="shared" si="27"/>
        <v>-47373</v>
      </c>
      <c r="X29" s="65">
        <f t="shared" ref="X29:AC29" si="28">SUM(X24:X28)</f>
        <v>-122946</v>
      </c>
      <c r="Y29" s="65">
        <f t="shared" si="28"/>
        <v>92406</v>
      </c>
      <c r="Z29" s="65">
        <f t="shared" si="28"/>
        <v>136881</v>
      </c>
      <c r="AA29" s="65">
        <f t="shared" si="28"/>
        <v>152644</v>
      </c>
      <c r="AB29" s="65">
        <f t="shared" si="28"/>
        <v>-358387</v>
      </c>
      <c r="AC29" s="65">
        <f t="shared" si="28"/>
        <v>161268</v>
      </c>
      <c r="AD29" s="65">
        <f t="shared" ref="AD29:AI29" si="29">SUM(AD24:AD28)</f>
        <v>138399</v>
      </c>
      <c r="AE29" s="65">
        <f t="shared" si="29"/>
        <v>131539</v>
      </c>
      <c r="AF29" s="65">
        <f t="shared" si="29"/>
        <v>-41764</v>
      </c>
      <c r="AG29" s="65">
        <f t="shared" si="29"/>
        <v>-152207</v>
      </c>
      <c r="AH29" s="65">
        <f t="shared" si="29"/>
        <v>200831</v>
      </c>
      <c r="AI29" s="65">
        <f t="shared" si="29"/>
        <v>141062</v>
      </c>
      <c r="AJ29" s="65">
        <f t="shared" si="0"/>
        <v>317425</v>
      </c>
      <c r="AK29" s="65">
        <v>-166220</v>
      </c>
      <c r="AL29" s="65">
        <f>SUM(AL24:AL28)</f>
        <v>-44754</v>
      </c>
      <c r="AM29" s="65">
        <f>SUM(AM24:AM28)</f>
        <v>34611</v>
      </c>
      <c r="AN29" s="65">
        <f>SUM(AN24:AN28)</f>
        <v>1104500</v>
      </c>
      <c r="AO29" s="65">
        <f>SUM(AO24:AO28)</f>
        <v>224946</v>
      </c>
      <c r="AP29" s="65">
        <v>-117600</v>
      </c>
      <c r="AQ29" s="65">
        <f>SUM(AQ24:AQ28)</f>
        <v>367319</v>
      </c>
      <c r="AR29" s="65">
        <f>SUM(AR24:AR28)</f>
        <v>629835</v>
      </c>
    </row>
    <row r="30" spans="1:44">
      <c r="A30" s="80"/>
      <c r="B30" s="16"/>
      <c r="C30" s="31"/>
      <c r="D30" s="31"/>
      <c r="E30" s="31"/>
      <c r="F30" s="31"/>
      <c r="G30" s="31"/>
      <c r="H30" s="31"/>
      <c r="I30" s="31"/>
      <c r="J30" s="31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7"/>
      <c r="AQ30" s="107"/>
      <c r="AR30" s="107"/>
    </row>
    <row r="31" spans="1:44" ht="16.5">
      <c r="A31" s="59" t="s">
        <v>59</v>
      </c>
      <c r="B31" s="16"/>
      <c r="C31" s="31"/>
      <c r="D31" s="31"/>
      <c r="E31" s="31"/>
      <c r="F31" s="31"/>
      <c r="G31" s="31"/>
      <c r="H31" s="31"/>
      <c r="I31" s="31"/>
      <c r="J31" s="31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7"/>
      <c r="AQ31" s="107"/>
      <c r="AR31" s="107"/>
    </row>
    <row r="32" spans="1:44">
      <c r="A32" s="58" t="s">
        <v>49</v>
      </c>
      <c r="B32" s="16"/>
      <c r="C32" s="3"/>
      <c r="D32" s="3"/>
      <c r="E32" s="3">
        <v>0</v>
      </c>
      <c r="F32" s="3"/>
      <c r="G32" s="3"/>
      <c r="H32" s="3"/>
      <c r="I32" s="3"/>
      <c r="J32" s="3"/>
      <c r="K32" s="3"/>
      <c r="L32" s="3"/>
      <c r="M32" s="3"/>
      <c r="N32" s="3"/>
      <c r="O32" s="3">
        <f t="shared" ref="O32:T49" si="30">P32+Q32+R32+S32</f>
        <v>0</v>
      </c>
      <c r="P32" s="3">
        <v>0</v>
      </c>
      <c r="Q32" s="3">
        <v>0</v>
      </c>
      <c r="R32" s="3">
        <v>0</v>
      </c>
      <c r="S32" s="3">
        <v>0</v>
      </c>
      <c r="T32" s="3">
        <f t="shared" si="30"/>
        <v>-30000</v>
      </c>
      <c r="U32" s="3">
        <v>0</v>
      </c>
      <c r="V32" s="3">
        <v>-30000</v>
      </c>
      <c r="W32" s="3">
        <v>0</v>
      </c>
      <c r="X32" s="3">
        <v>0</v>
      </c>
      <c r="Y32" s="3">
        <f t="shared" ref="Y32:Y49" si="31">Z32+AA32+AB32+AC32</f>
        <v>-16771</v>
      </c>
      <c r="Z32" s="3">
        <f>-16771-AA32-AB32-AC32</f>
        <v>-4480</v>
      </c>
      <c r="AA32" s="3">
        <f>-12291-63+8241</f>
        <v>-4113</v>
      </c>
      <c r="AB32" s="3">
        <f>-8178-(-8241)</f>
        <v>63</v>
      </c>
      <c r="AC32" s="3">
        <v>-8241</v>
      </c>
      <c r="AD32" s="3">
        <v>-20083</v>
      </c>
      <c r="AE32" s="3">
        <f>-20083+19728</f>
        <v>-355</v>
      </c>
      <c r="AF32" s="3">
        <f>(-19728)-(-9927)</f>
        <v>-9801</v>
      </c>
      <c r="AG32" s="3">
        <f>-9927</f>
        <v>-9927</v>
      </c>
      <c r="AH32" s="3">
        <v>0</v>
      </c>
      <c r="AI32" s="3">
        <v>-47698</v>
      </c>
      <c r="AJ32" s="3">
        <f>AI32-SUM(AK32:AM32)</f>
        <v>0</v>
      </c>
      <c r="AK32" s="3">
        <v>0</v>
      </c>
      <c r="AL32" s="3">
        <v>0</v>
      </c>
      <c r="AM32" s="3">
        <v>-47698</v>
      </c>
      <c r="AN32" s="3">
        <v>-20000</v>
      </c>
      <c r="AO32" s="3">
        <f t="shared" ref="AO32:AO49" si="32">AN32-SUM(AP32:AR32)</f>
        <v>0</v>
      </c>
      <c r="AP32" s="3">
        <v>0</v>
      </c>
      <c r="AQ32" s="3">
        <v>0</v>
      </c>
      <c r="AR32" s="3">
        <v>-20000</v>
      </c>
    </row>
    <row r="33" spans="1:44">
      <c r="A33" s="58" t="s">
        <v>50</v>
      </c>
      <c r="B33" s="16"/>
      <c r="C33" s="3"/>
      <c r="D33" s="3"/>
      <c r="E33" s="3">
        <v>0</v>
      </c>
      <c r="F33" s="3"/>
      <c r="G33" s="3"/>
      <c r="H33" s="3"/>
      <c r="I33" s="3"/>
      <c r="J33" s="3"/>
      <c r="K33" s="3"/>
      <c r="L33" s="3"/>
      <c r="M33" s="3"/>
      <c r="N33" s="3"/>
      <c r="O33" s="3">
        <f t="shared" si="30"/>
        <v>0</v>
      </c>
      <c r="P33" s="3">
        <v>0</v>
      </c>
      <c r="Q33" s="3">
        <v>0</v>
      </c>
      <c r="R33" s="3">
        <v>0</v>
      </c>
      <c r="S33" s="3">
        <v>0</v>
      </c>
      <c r="T33" s="3">
        <f t="shared" si="30"/>
        <v>50031</v>
      </c>
      <c r="U33" s="3">
        <f>50031-V33-W33-X33</f>
        <v>-33</v>
      </c>
      <c r="V33" s="3">
        <f>50064+29-50131</f>
        <v>-38</v>
      </c>
      <c r="W33" s="3">
        <f>50102-50131</f>
        <v>-29</v>
      </c>
      <c r="X33" s="3">
        <v>50131</v>
      </c>
      <c r="Y33" s="3">
        <f t="shared" si="31"/>
        <v>39458</v>
      </c>
      <c r="Z33" s="3">
        <f>39458-AA33-AB33-AC33</f>
        <v>76</v>
      </c>
      <c r="AA33" s="3">
        <f>39382+55-7172</f>
        <v>32265</v>
      </c>
      <c r="AB33" s="3">
        <f>7117-7172</f>
        <v>-55</v>
      </c>
      <c r="AC33" s="3">
        <v>7172</v>
      </c>
      <c r="AD33" s="3">
        <v>3485</v>
      </c>
      <c r="AE33" s="3">
        <f>3485-3459</f>
        <v>26</v>
      </c>
      <c r="AF33" s="3">
        <v>3459</v>
      </c>
      <c r="AG33" s="3">
        <v>0</v>
      </c>
      <c r="AH33" s="3">
        <v>0</v>
      </c>
      <c r="AI33" s="3">
        <v>0</v>
      </c>
      <c r="AJ33" s="3">
        <f t="shared" si="0"/>
        <v>0</v>
      </c>
      <c r="AK33" s="3">
        <v>0</v>
      </c>
      <c r="AL33" s="3">
        <v>0</v>
      </c>
      <c r="AM33" s="3">
        <v>0</v>
      </c>
      <c r="AN33" s="3">
        <v>20010</v>
      </c>
      <c r="AO33" s="3">
        <f t="shared" si="32"/>
        <v>0</v>
      </c>
      <c r="AP33" s="3">
        <v>0</v>
      </c>
      <c r="AQ33" s="3">
        <v>0</v>
      </c>
      <c r="AR33" s="3">
        <v>20010</v>
      </c>
    </row>
    <row r="34" spans="1:44" s="13" customFormat="1">
      <c r="A34" s="58" t="s">
        <v>218</v>
      </c>
      <c r="B34" s="16"/>
      <c r="C34" s="3"/>
      <c r="D34" s="3"/>
      <c r="E34" s="3">
        <v>0</v>
      </c>
      <c r="F34" s="3"/>
      <c r="G34" s="3"/>
      <c r="H34" s="3"/>
      <c r="I34" s="3"/>
      <c r="J34" s="3"/>
      <c r="K34" s="3"/>
      <c r="L34" s="3"/>
      <c r="M34" s="3"/>
      <c r="N34" s="3"/>
      <c r="O34" s="3">
        <f t="shared" si="30"/>
        <v>0</v>
      </c>
      <c r="P34" s="3">
        <v>0</v>
      </c>
      <c r="Q34" s="3">
        <v>0</v>
      </c>
      <c r="R34" s="3">
        <v>0</v>
      </c>
      <c r="S34" s="3">
        <v>0</v>
      </c>
      <c r="T34" s="3">
        <f t="shared" si="30"/>
        <v>0</v>
      </c>
      <c r="U34" s="3">
        <v>0</v>
      </c>
      <c r="V34" s="3">
        <v>0</v>
      </c>
      <c r="W34" s="3">
        <v>0</v>
      </c>
      <c r="X34" s="3">
        <v>0</v>
      </c>
      <c r="Y34" s="3">
        <f t="shared" si="31"/>
        <v>0</v>
      </c>
      <c r="Z34" s="3">
        <f>0-AA34-AB34-AC34</f>
        <v>0</v>
      </c>
      <c r="AA34" s="3">
        <v>0</v>
      </c>
      <c r="AB34" s="3">
        <v>0</v>
      </c>
      <c r="AC34" s="3">
        <v>0</v>
      </c>
      <c r="AD34" s="3">
        <v>-403134</v>
      </c>
      <c r="AE34" s="3">
        <v>-79698</v>
      </c>
      <c r="AF34" s="3">
        <f>-323436-(-185419)</f>
        <v>-138017</v>
      </c>
      <c r="AG34" s="3">
        <f>-185419-(-1003136)</f>
        <v>817717</v>
      </c>
      <c r="AH34" s="3">
        <v>-1003136</v>
      </c>
      <c r="AI34" s="3">
        <v>-1439536</v>
      </c>
      <c r="AJ34" s="3">
        <f t="shared" si="0"/>
        <v>-444920</v>
      </c>
      <c r="AK34" s="3">
        <v>143306</v>
      </c>
      <c r="AL34" s="3">
        <v>-1085550</v>
      </c>
      <c r="AM34" s="3">
        <v>-52372</v>
      </c>
      <c r="AN34" s="3">
        <v>-519490</v>
      </c>
      <c r="AO34" s="3">
        <f t="shared" si="32"/>
        <v>533137</v>
      </c>
      <c r="AP34" s="3">
        <v>398624</v>
      </c>
      <c r="AQ34" s="3">
        <v>-987530</v>
      </c>
      <c r="AR34" s="3">
        <v>-463721</v>
      </c>
    </row>
    <row r="35" spans="1:44" s="13" customFormat="1">
      <c r="A35" s="97" t="s">
        <v>110</v>
      </c>
      <c r="B35" s="16"/>
      <c r="C35" s="3"/>
      <c r="D35" s="3"/>
      <c r="E35" s="3">
        <v>0</v>
      </c>
      <c r="F35" s="3"/>
      <c r="G35" s="3"/>
      <c r="H35" s="3"/>
      <c r="I35" s="3"/>
      <c r="J35" s="3"/>
      <c r="K35" s="3"/>
      <c r="L35" s="3"/>
      <c r="M35" s="3"/>
      <c r="N35" s="3"/>
      <c r="O35" s="3">
        <f t="shared" si="30"/>
        <v>558604</v>
      </c>
      <c r="P35" s="3">
        <f>558604-Q35-R35-S35</f>
        <v>529424</v>
      </c>
      <c r="Q35" s="3">
        <f>29180+82669</f>
        <v>111849</v>
      </c>
      <c r="R35" s="3">
        <f>-82669+100507</f>
        <v>17838</v>
      </c>
      <c r="S35" s="3">
        <v>-100507</v>
      </c>
      <c r="T35" s="3">
        <f t="shared" si="30"/>
        <v>692100</v>
      </c>
      <c r="U35" s="3">
        <f>692100-V35-W35-X35</f>
        <v>365458</v>
      </c>
      <c r="V35" s="3">
        <f>326642-93395-104612</f>
        <v>128635</v>
      </c>
      <c r="W35" s="3">
        <f>198007-104612</f>
        <v>93395</v>
      </c>
      <c r="X35" s="3">
        <v>104612</v>
      </c>
      <c r="Y35" s="3">
        <f t="shared" si="31"/>
        <v>492667</v>
      </c>
      <c r="Z35" s="3">
        <f>492667-AA35-AB35-AC35</f>
        <v>-220060</v>
      </c>
      <c r="AA35" s="3">
        <f>712727-218877-208271</f>
        <v>285579</v>
      </c>
      <c r="AB35" s="3">
        <f>427148-208271</f>
        <v>218877</v>
      </c>
      <c r="AC35" s="3">
        <v>208271</v>
      </c>
      <c r="AD35" s="3"/>
      <c r="AE35" s="3">
        <v>0</v>
      </c>
      <c r="AF35" s="3"/>
      <c r="AG35" s="3"/>
      <c r="AH35" s="3">
        <v>0</v>
      </c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s="13" customFormat="1">
      <c r="A36" s="97" t="s">
        <v>219</v>
      </c>
      <c r="B36" s="16"/>
      <c r="C36" s="3">
        <v>-89100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s="13" customFormat="1">
      <c r="A37" s="97" t="s">
        <v>170</v>
      </c>
      <c r="B37" s="16"/>
      <c r="C37" s="3">
        <v>21479</v>
      </c>
      <c r="D37" s="3">
        <v>708128</v>
      </c>
      <c r="E37" s="3">
        <v>100471</v>
      </c>
      <c r="F37" s="3">
        <f>607657-G37-H37</f>
        <v>529786</v>
      </c>
      <c r="G37" s="3">
        <f>77871-70467</f>
        <v>7404</v>
      </c>
      <c r="H37" s="3">
        <v>70467</v>
      </c>
      <c r="I37" s="3">
        <f t="shared" ref="I37" si="33">J37+K37+M37+N37</f>
        <v>505390</v>
      </c>
      <c r="J37" s="3">
        <f>505390-SUM(K37,M37:N37)</f>
        <v>-16938</v>
      </c>
      <c r="K37" s="3">
        <f>522328-24637-496994</f>
        <v>697</v>
      </c>
      <c r="L37" s="3">
        <f t="shared" ref="L37" si="34">M37+N37</f>
        <v>521631</v>
      </c>
      <c r="M37" s="3">
        <f>521631-496994</f>
        <v>24637</v>
      </c>
      <c r="N37" s="3">
        <v>496994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>
      <c r="A38" s="58" t="s">
        <v>108</v>
      </c>
      <c r="B38" s="16"/>
      <c r="C38" s="3"/>
      <c r="D38" s="3"/>
      <c r="E38" s="3">
        <v>0</v>
      </c>
      <c r="F38" s="3"/>
      <c r="G38" s="3"/>
      <c r="H38" s="3"/>
      <c r="I38" s="3"/>
      <c r="J38" s="3"/>
      <c r="K38" s="3"/>
      <c r="L38" s="3"/>
      <c r="M38" s="3"/>
      <c r="N38" s="3"/>
      <c r="O38" s="3">
        <f t="shared" si="30"/>
        <v>0</v>
      </c>
      <c r="P38" s="3">
        <f t="shared" si="30"/>
        <v>0</v>
      </c>
      <c r="Q38" s="3">
        <f t="shared" si="30"/>
        <v>0</v>
      </c>
      <c r="R38" s="3">
        <f t="shared" si="30"/>
        <v>0</v>
      </c>
      <c r="S38" s="3">
        <f t="shared" si="30"/>
        <v>0</v>
      </c>
      <c r="T38" s="3">
        <f t="shared" si="30"/>
        <v>0</v>
      </c>
      <c r="U38" s="3">
        <v>0</v>
      </c>
      <c r="V38" s="3">
        <v>0</v>
      </c>
      <c r="W38" s="3">
        <v>0</v>
      </c>
      <c r="X38" s="3">
        <v>0</v>
      </c>
      <c r="Y38" s="3">
        <f t="shared" si="31"/>
        <v>0</v>
      </c>
      <c r="Z38" s="3">
        <f>0-AA38-AB38-AC38</f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f t="shared" si="0"/>
        <v>0</v>
      </c>
      <c r="AK38" s="3">
        <v>0</v>
      </c>
      <c r="AL38" s="3">
        <v>0</v>
      </c>
      <c r="AM38" s="3">
        <v>0</v>
      </c>
      <c r="AN38" s="3">
        <v>-29560</v>
      </c>
      <c r="AO38" s="3">
        <f t="shared" si="32"/>
        <v>0</v>
      </c>
      <c r="AP38" s="3">
        <v>0</v>
      </c>
      <c r="AQ38" s="3">
        <v>-29560</v>
      </c>
      <c r="AR38" s="103">
        <v>0</v>
      </c>
    </row>
    <row r="39" spans="1:44">
      <c r="A39" s="58" t="s">
        <v>107</v>
      </c>
      <c r="B39" s="16"/>
      <c r="C39" s="3"/>
      <c r="D39" s="3"/>
      <c r="E39" s="3">
        <v>0</v>
      </c>
      <c r="F39" s="3"/>
      <c r="G39" s="3"/>
      <c r="H39" s="3"/>
      <c r="I39" s="3"/>
      <c r="J39" s="3"/>
      <c r="K39" s="3"/>
      <c r="L39" s="3"/>
      <c r="M39" s="3"/>
      <c r="N39" s="3"/>
      <c r="O39" s="3">
        <f t="shared" si="30"/>
        <v>-15059</v>
      </c>
      <c r="P39" s="3">
        <f>15059-15059</f>
        <v>0</v>
      </c>
      <c r="Q39" s="3">
        <f>15059-15059</f>
        <v>0</v>
      </c>
      <c r="R39" s="3">
        <v>-15059</v>
      </c>
      <c r="S39" s="3">
        <f t="shared" si="30"/>
        <v>0</v>
      </c>
      <c r="T39" s="3">
        <f t="shared" si="30"/>
        <v>0</v>
      </c>
      <c r="U39" s="3">
        <v>0</v>
      </c>
      <c r="V39" s="3">
        <v>0</v>
      </c>
      <c r="W39" s="3">
        <v>0</v>
      </c>
      <c r="X39" s="3">
        <v>0</v>
      </c>
      <c r="Y39" s="3">
        <f t="shared" si="31"/>
        <v>0</v>
      </c>
      <c r="Z39" s="3">
        <f>0-AA39-AB39-AC39</f>
        <v>0</v>
      </c>
      <c r="AA39" s="3">
        <v>0</v>
      </c>
      <c r="AB39" s="3">
        <v>0</v>
      </c>
      <c r="AC39" s="3">
        <v>0</v>
      </c>
      <c r="AD39" s="3">
        <v>-45862</v>
      </c>
      <c r="AE39" s="3">
        <v>-45862</v>
      </c>
      <c r="AF39" s="3">
        <v>0</v>
      </c>
      <c r="AG39" s="3">
        <v>0</v>
      </c>
      <c r="AH39" s="3">
        <v>0</v>
      </c>
      <c r="AI39" s="3">
        <v>0</v>
      </c>
      <c r="AJ39" s="3"/>
      <c r="AK39" s="3"/>
      <c r="AL39" s="3"/>
      <c r="AM39" s="3"/>
      <c r="AN39" s="3"/>
      <c r="AO39" s="3"/>
      <c r="AP39" s="3"/>
      <c r="AQ39" s="3"/>
    </row>
    <row r="40" spans="1:44">
      <c r="A40" s="97" t="s">
        <v>155</v>
      </c>
      <c r="B40" s="16"/>
      <c r="C40" s="3"/>
      <c r="D40" s="3"/>
      <c r="E40" s="3">
        <v>0</v>
      </c>
      <c r="F40" s="3"/>
      <c r="G40" s="3"/>
      <c r="H40" s="3"/>
      <c r="I40" s="3"/>
      <c r="J40" s="3"/>
      <c r="K40" s="3"/>
      <c r="L40" s="3"/>
      <c r="M40" s="3"/>
      <c r="N40" s="3"/>
      <c r="O40" s="3">
        <f t="shared" si="30"/>
        <v>60448</v>
      </c>
      <c r="P40" s="3">
        <f>60448-Q40-R40-S40</f>
        <v>0</v>
      </c>
      <c r="Q40" s="3">
        <f>60448-45389</f>
        <v>15059</v>
      </c>
      <c r="R40" s="3">
        <f>45389-20151</f>
        <v>25238</v>
      </c>
      <c r="S40" s="3">
        <v>20151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4">
      <c r="A41" s="58" t="s">
        <v>70</v>
      </c>
      <c r="B41" s="16"/>
      <c r="C41" s="3"/>
      <c r="D41" s="3"/>
      <c r="E41" s="3">
        <v>0</v>
      </c>
      <c r="F41" s="3"/>
      <c r="G41" s="3"/>
      <c r="H41" s="3"/>
      <c r="I41" s="3"/>
      <c r="J41" s="3"/>
      <c r="K41" s="3"/>
      <c r="L41" s="3"/>
      <c r="M41" s="3"/>
      <c r="N41" s="3"/>
      <c r="O41" s="3">
        <f t="shared" si="30"/>
        <v>-18259</v>
      </c>
      <c r="P41" s="3">
        <f>-18259</f>
        <v>-18259</v>
      </c>
      <c r="Q41" s="3">
        <f t="shared" si="30"/>
        <v>0</v>
      </c>
      <c r="R41" s="3">
        <f t="shared" si="30"/>
        <v>0</v>
      </c>
      <c r="S41" s="3">
        <f t="shared" si="30"/>
        <v>0</v>
      </c>
      <c r="T41" s="3">
        <f t="shared" si="30"/>
        <v>0</v>
      </c>
      <c r="U41" s="3">
        <v>0</v>
      </c>
      <c r="V41" s="3">
        <v>0</v>
      </c>
      <c r="W41" s="3">
        <v>0</v>
      </c>
      <c r="X41" s="3">
        <v>0</v>
      </c>
      <c r="Y41" s="3">
        <f t="shared" si="31"/>
        <v>0</v>
      </c>
      <c r="Z41" s="3">
        <f>0-AA41-AB41-AC41</f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-10250</v>
      </c>
      <c r="AJ41" s="3">
        <f t="shared" si="0"/>
        <v>-179</v>
      </c>
      <c r="AK41" s="3">
        <v>115</v>
      </c>
      <c r="AL41" s="3">
        <v>-10186</v>
      </c>
      <c r="AM41" s="3">
        <v>0</v>
      </c>
      <c r="AN41" s="3">
        <v>0</v>
      </c>
      <c r="AO41" s="3">
        <f t="shared" si="32"/>
        <v>0</v>
      </c>
      <c r="AP41" s="3">
        <v>0</v>
      </c>
      <c r="AQ41" s="103">
        <v>0</v>
      </c>
      <c r="AR41" s="103">
        <v>0</v>
      </c>
    </row>
    <row r="42" spans="1:44">
      <c r="A42" s="58" t="s">
        <v>84</v>
      </c>
      <c r="B42" s="16"/>
      <c r="C42" s="3"/>
      <c r="D42" s="3"/>
      <c r="E42" s="3">
        <v>0</v>
      </c>
      <c r="F42" s="3"/>
      <c r="G42" s="3"/>
      <c r="H42" s="3"/>
      <c r="I42" s="3"/>
      <c r="J42" s="3"/>
      <c r="K42" s="3"/>
      <c r="L42" s="3"/>
      <c r="M42" s="3"/>
      <c r="N42" s="3"/>
      <c r="O42" s="3">
        <f t="shared" si="30"/>
        <v>0</v>
      </c>
      <c r="P42" s="3">
        <f t="shared" si="30"/>
        <v>0</v>
      </c>
      <c r="Q42" s="3">
        <f t="shared" si="30"/>
        <v>0</v>
      </c>
      <c r="R42" s="3">
        <f t="shared" si="30"/>
        <v>0</v>
      </c>
      <c r="S42" s="3">
        <f t="shared" si="30"/>
        <v>0</v>
      </c>
      <c r="T42" s="3">
        <f t="shared" si="30"/>
        <v>0</v>
      </c>
      <c r="U42" s="3">
        <v>0</v>
      </c>
      <c r="V42" s="3">
        <v>0</v>
      </c>
      <c r="W42" s="3">
        <v>0</v>
      </c>
      <c r="X42" s="3">
        <v>0</v>
      </c>
      <c r="Y42" s="3">
        <f t="shared" si="31"/>
        <v>0</v>
      </c>
      <c r="Z42" s="3">
        <f>0-AA42-AB42-AC42</f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f t="shared" si="0"/>
        <v>0</v>
      </c>
      <c r="AK42" s="3">
        <v>0</v>
      </c>
      <c r="AL42" s="3">
        <v>0</v>
      </c>
      <c r="AM42" s="3">
        <v>0</v>
      </c>
      <c r="AN42" s="3">
        <v>-507398</v>
      </c>
      <c r="AO42" s="3">
        <f t="shared" si="32"/>
        <v>-507398</v>
      </c>
      <c r="AP42" s="3"/>
    </row>
    <row r="43" spans="1:44" s="13" customFormat="1">
      <c r="A43" s="58" t="s">
        <v>51</v>
      </c>
      <c r="B43" s="16"/>
      <c r="C43" s="3">
        <v>-1970</v>
      </c>
      <c r="D43" s="3">
        <v>-9916</v>
      </c>
      <c r="E43" s="3">
        <v>-2658</v>
      </c>
      <c r="F43" s="3">
        <f>-7258-G43-H43</f>
        <v>-4012</v>
      </c>
      <c r="G43" s="3">
        <f>-3246+444</f>
        <v>-2802</v>
      </c>
      <c r="H43" s="3">
        <v>-444</v>
      </c>
      <c r="I43" s="3">
        <f t="shared" ref="I43:I49" si="35">J43+K43+M43+N43</f>
        <v>-29277</v>
      </c>
      <c r="J43" s="3">
        <f>-29277-SUM(K43,M43:N43)</f>
        <v>-62</v>
      </c>
      <c r="K43" s="3">
        <f>-29215+19726+8071</f>
        <v>-1418</v>
      </c>
      <c r="L43" s="3">
        <f t="shared" ref="L43:L46" si="36">M43+N43</f>
        <v>-27797</v>
      </c>
      <c r="M43" s="3">
        <f>-27797+8071</f>
        <v>-19726</v>
      </c>
      <c r="N43" s="3">
        <v>-8071</v>
      </c>
      <c r="O43" s="3">
        <f t="shared" si="30"/>
        <v>-24110</v>
      </c>
      <c r="P43" s="3">
        <f>-24110-Q43-R43-S43</f>
        <v>-3181</v>
      </c>
      <c r="Q43" s="3">
        <f>-20929+11936</f>
        <v>-8993</v>
      </c>
      <c r="R43" s="3">
        <f>-11936+4328</f>
        <v>-7608</v>
      </c>
      <c r="S43" s="3">
        <v>-4328</v>
      </c>
      <c r="T43" s="3">
        <f t="shared" si="30"/>
        <v>-19764</v>
      </c>
      <c r="U43" s="3">
        <f>-19764-V43-W43-X43</f>
        <v>-7407</v>
      </c>
      <c r="V43" s="3">
        <f>-12357+2388+4640</f>
        <v>-5329</v>
      </c>
      <c r="W43" s="3">
        <f>-7028+4640</f>
        <v>-2388</v>
      </c>
      <c r="X43" s="3">
        <v>-4640</v>
      </c>
      <c r="Y43" s="3">
        <f t="shared" si="31"/>
        <v>-41605</v>
      </c>
      <c r="Z43" s="3">
        <f>-41605-AA43-AB43-AC43</f>
        <v>-9427</v>
      </c>
      <c r="AA43" s="3">
        <f>-32178+2603+6281</f>
        <v>-23294</v>
      </c>
      <c r="AB43" s="3">
        <f>-8884-(-6281)</f>
        <v>-2603</v>
      </c>
      <c r="AC43" s="3">
        <v>-6281</v>
      </c>
      <c r="AD43" s="3">
        <v>-29339</v>
      </c>
      <c r="AE43" s="3">
        <f>-29339+18675</f>
        <v>-10664</v>
      </c>
      <c r="AF43" s="3">
        <f>-18675-(-14675)</f>
        <v>-4000</v>
      </c>
      <c r="AG43" s="3">
        <f>-14675-(-10944)</f>
        <v>-3731</v>
      </c>
      <c r="AH43" s="3">
        <v>-10944</v>
      </c>
      <c r="AI43" s="3">
        <v>-46357</v>
      </c>
      <c r="AJ43" s="3">
        <f t="shared" si="0"/>
        <v>-11453</v>
      </c>
      <c r="AK43" s="3">
        <v>-8525</v>
      </c>
      <c r="AL43" s="3">
        <v>-14246</v>
      </c>
      <c r="AM43" s="3">
        <v>-12133</v>
      </c>
      <c r="AN43" s="3">
        <v>-37903</v>
      </c>
      <c r="AO43" s="3">
        <f t="shared" si="32"/>
        <v>-9777</v>
      </c>
      <c r="AP43" s="3">
        <v>-6301</v>
      </c>
      <c r="AQ43" s="3">
        <v>-9010</v>
      </c>
      <c r="AR43" s="3">
        <v>-12815</v>
      </c>
    </row>
    <row r="44" spans="1:44">
      <c r="A44" s="58" t="s">
        <v>137</v>
      </c>
      <c r="B44" s="16"/>
      <c r="C44" s="3">
        <v>432</v>
      </c>
      <c r="D44" s="3">
        <v>2562</v>
      </c>
      <c r="E44" s="3">
        <v>-64</v>
      </c>
      <c r="F44" s="3">
        <f>2626-G44-H44</f>
        <v>-28</v>
      </c>
      <c r="G44" s="3">
        <f>2654-0</f>
        <v>2654</v>
      </c>
      <c r="H44" s="3"/>
      <c r="I44" s="3">
        <f t="shared" si="35"/>
        <v>11</v>
      </c>
      <c r="J44" s="3">
        <f>11-SUM(K44:N44)</f>
        <v>8</v>
      </c>
      <c r="K44" s="3">
        <v>3</v>
      </c>
      <c r="L44" s="3"/>
      <c r="M44" s="3"/>
      <c r="N44" s="3"/>
      <c r="O44" s="3">
        <f t="shared" si="30"/>
        <v>351</v>
      </c>
      <c r="P44" s="3">
        <f>351-Q44-R44-S44</f>
        <v>1</v>
      </c>
      <c r="Q44" s="3">
        <f>350-270</f>
        <v>80</v>
      </c>
      <c r="R44" s="3">
        <f>270-17</f>
        <v>253</v>
      </c>
      <c r="S44" s="3">
        <v>17</v>
      </c>
      <c r="T44" s="3">
        <f t="shared" si="30"/>
        <v>215</v>
      </c>
      <c r="U44" s="3">
        <f>215-V44-W44-X44</f>
        <v>-2</v>
      </c>
      <c r="V44" s="3">
        <f>217-12</f>
        <v>205</v>
      </c>
      <c r="W44" s="3">
        <v>12</v>
      </c>
      <c r="X44" s="3">
        <v>0</v>
      </c>
      <c r="Y44" s="3">
        <f t="shared" si="31"/>
        <v>44</v>
      </c>
      <c r="Z44" s="3">
        <f>44-AA44-AB44-AC44</f>
        <v>0</v>
      </c>
      <c r="AA44" s="3">
        <f>44-33-10</f>
        <v>1</v>
      </c>
      <c r="AB44" s="3">
        <f>43-10</f>
        <v>33</v>
      </c>
      <c r="AC44" s="3">
        <v>10</v>
      </c>
      <c r="AD44" s="3">
        <v>185</v>
      </c>
      <c r="AE44" s="3">
        <f>185-23</f>
        <v>162</v>
      </c>
      <c r="AF44" s="3">
        <f>23-20</f>
        <v>3</v>
      </c>
      <c r="AG44" s="3">
        <f>20-20</f>
        <v>0</v>
      </c>
      <c r="AH44" s="3">
        <v>20</v>
      </c>
      <c r="AI44" s="3">
        <f>13+1703639</f>
        <v>1703652</v>
      </c>
      <c r="AJ44" s="3">
        <f t="shared" si="0"/>
        <v>0</v>
      </c>
      <c r="AK44" s="3">
        <v>0</v>
      </c>
      <c r="AL44" s="3">
        <v>1703639</v>
      </c>
      <c r="AM44" s="3">
        <v>13</v>
      </c>
      <c r="AN44" s="3">
        <v>0</v>
      </c>
      <c r="AO44" s="3">
        <f t="shared" si="32"/>
        <v>0</v>
      </c>
      <c r="AP44" s="3">
        <v>0</v>
      </c>
      <c r="AQ44" s="103">
        <v>0</v>
      </c>
      <c r="AR44" s="103">
        <v>0</v>
      </c>
    </row>
    <row r="45" spans="1:44">
      <c r="A45" s="77" t="s">
        <v>71</v>
      </c>
      <c r="B45" s="16"/>
      <c r="C45" s="3">
        <v>84</v>
      </c>
      <c r="D45" s="3">
        <v>2229</v>
      </c>
      <c r="E45" s="3">
        <v>-24</v>
      </c>
      <c r="F45" s="3">
        <f>2253-G45-H45</f>
        <v>1164</v>
      </c>
      <c r="G45" s="3">
        <f>1089+44</f>
        <v>1133</v>
      </c>
      <c r="H45" s="3">
        <v>-44</v>
      </c>
      <c r="I45" s="3">
        <f t="shared" si="35"/>
        <v>-115</v>
      </c>
      <c r="J45" s="3">
        <f>-115-SUM(K45,M45:N45)</f>
        <v>0</v>
      </c>
      <c r="K45" s="3">
        <f>-115</f>
        <v>-115</v>
      </c>
      <c r="L45" s="3"/>
      <c r="M45" s="3"/>
      <c r="N45" s="3"/>
      <c r="O45" s="3">
        <f t="shared" si="30"/>
        <v>373</v>
      </c>
      <c r="P45" s="3">
        <f>373-Q45-R45-S45</f>
        <v>1</v>
      </c>
      <c r="Q45" s="3">
        <f>372-342</f>
        <v>30</v>
      </c>
      <c r="R45" s="3">
        <f>342-46</f>
        <v>296</v>
      </c>
      <c r="S45" s="3">
        <v>46</v>
      </c>
      <c r="T45" s="3">
        <f t="shared" si="30"/>
        <v>948</v>
      </c>
      <c r="U45" s="3">
        <f>948-V45-W45-X45</f>
        <v>-474</v>
      </c>
      <c r="V45" s="3">
        <f>1422-189-1274</f>
        <v>-41</v>
      </c>
      <c r="W45" s="3">
        <f>1463-1274</f>
        <v>189</v>
      </c>
      <c r="X45" s="3">
        <v>1274</v>
      </c>
      <c r="Y45" s="3">
        <f t="shared" si="31"/>
        <v>-407</v>
      </c>
      <c r="Z45" s="3">
        <f>-407-AA45-AB45-AC45</f>
        <v>-368</v>
      </c>
      <c r="AA45" s="3">
        <f>-39+291-444</f>
        <v>-192</v>
      </c>
      <c r="AB45" s="3">
        <f>153-444</f>
        <v>-291</v>
      </c>
      <c r="AC45" s="3">
        <v>444</v>
      </c>
      <c r="AD45" s="3">
        <v>-414</v>
      </c>
      <c r="AE45" s="3">
        <f>-414-66</f>
        <v>-480</v>
      </c>
      <c r="AF45" s="3">
        <f>66-63</f>
        <v>3</v>
      </c>
      <c r="AG45" s="3">
        <f>63-(-15)</f>
        <v>78</v>
      </c>
      <c r="AH45" s="3">
        <v>-15</v>
      </c>
      <c r="AI45" s="3">
        <v>-4094</v>
      </c>
      <c r="AJ45" s="3">
        <f t="shared" si="0"/>
        <v>-184</v>
      </c>
      <c r="AK45" s="3">
        <v>-95</v>
      </c>
      <c r="AL45" s="3">
        <v>-117</v>
      </c>
      <c r="AM45" s="3">
        <v>-3698</v>
      </c>
      <c r="AN45" s="3">
        <v>-1438</v>
      </c>
      <c r="AO45" s="3">
        <f t="shared" si="32"/>
        <v>-517</v>
      </c>
      <c r="AP45" s="3">
        <v>-1102</v>
      </c>
      <c r="AQ45" s="3">
        <v>140</v>
      </c>
      <c r="AR45" s="3">
        <v>41</v>
      </c>
    </row>
    <row r="46" spans="1:44">
      <c r="A46" s="77" t="s">
        <v>52</v>
      </c>
      <c r="B46" s="16"/>
      <c r="C46" s="3">
        <v>-5899</v>
      </c>
      <c r="D46" s="3">
        <v>-85671</v>
      </c>
      <c r="E46" s="3">
        <v>-51375</v>
      </c>
      <c r="F46" s="3">
        <f>-34296-G46-H46</f>
        <v>-1356</v>
      </c>
      <c r="G46" s="3">
        <f>-32940+33298</f>
        <v>358</v>
      </c>
      <c r="H46" s="3">
        <v>-33298</v>
      </c>
      <c r="I46" s="3">
        <f t="shared" si="35"/>
        <v>-142470</v>
      </c>
      <c r="J46" s="3">
        <f>-142470-SUM(K46,M46:N46)</f>
        <v>-5900</v>
      </c>
      <c r="K46" s="3">
        <f>-136570+9980+104072</f>
        <v>-22518</v>
      </c>
      <c r="L46" s="3">
        <f t="shared" si="36"/>
        <v>-114052</v>
      </c>
      <c r="M46" s="3">
        <f>-114052+104072</f>
        <v>-9980</v>
      </c>
      <c r="N46" s="3">
        <v>-104072</v>
      </c>
      <c r="O46" s="3">
        <f t="shared" si="30"/>
        <v>-89049</v>
      </c>
      <c r="P46" s="3">
        <f>-89049-Q46-R46-S46</f>
        <v>-8607</v>
      </c>
      <c r="Q46" s="3">
        <f>-80442+47814</f>
        <v>-32628</v>
      </c>
      <c r="R46" s="3">
        <f>-47814+6528</f>
        <v>-41286</v>
      </c>
      <c r="S46" s="3">
        <v>-6528</v>
      </c>
      <c r="T46" s="3">
        <f t="shared" si="30"/>
        <v>-116011</v>
      </c>
      <c r="U46" s="3">
        <f>-116011-V46-W46-X46</f>
        <v>-41301</v>
      </c>
      <c r="V46" s="3">
        <f>-74710+1792+40184</f>
        <v>-32734</v>
      </c>
      <c r="W46" s="3">
        <f>-41976+40184</f>
        <v>-1792</v>
      </c>
      <c r="X46" s="3">
        <v>-40184</v>
      </c>
      <c r="Y46" s="3">
        <f t="shared" si="31"/>
        <v>-30697</v>
      </c>
      <c r="Z46" s="3">
        <f>-30697-AA46-AB46-AC46</f>
        <v>-6804</v>
      </c>
      <c r="AA46" s="3">
        <f>-23893+829+35303</f>
        <v>12239</v>
      </c>
      <c r="AB46" s="3">
        <f>-36132-(-35303)</f>
        <v>-829</v>
      </c>
      <c r="AC46" s="3">
        <v>-35303</v>
      </c>
      <c r="AD46" s="3">
        <v>-124719</v>
      </c>
      <c r="AE46" s="3">
        <f>-124719+16190</f>
        <v>-108529</v>
      </c>
      <c r="AF46" s="3">
        <f>-16190-(-10376)</f>
        <v>-5814</v>
      </c>
      <c r="AG46" s="3">
        <f>-10376-(-3302)</f>
        <v>-7074</v>
      </c>
      <c r="AH46" s="3">
        <v>-3302</v>
      </c>
      <c r="AI46" s="3">
        <v>-98143</v>
      </c>
      <c r="AJ46" s="3">
        <f t="shared" si="0"/>
        <v>-40237</v>
      </c>
      <c r="AK46" s="3">
        <v>-9791</v>
      </c>
      <c r="AL46" s="3">
        <v>-33319</v>
      </c>
      <c r="AM46" s="3">
        <v>-14796</v>
      </c>
      <c r="AN46" s="3">
        <v>-64537</v>
      </c>
      <c r="AO46" s="3">
        <f t="shared" si="32"/>
        <v>-17745</v>
      </c>
      <c r="AP46" s="3">
        <v>-17514</v>
      </c>
      <c r="AQ46" s="3">
        <v>-11404</v>
      </c>
      <c r="AR46" s="3">
        <v>-17874</v>
      </c>
    </row>
    <row r="47" spans="1:44">
      <c r="A47" s="93" t="s">
        <v>124</v>
      </c>
      <c r="B47" s="16"/>
      <c r="C47" s="3"/>
      <c r="D47" s="3">
        <v>357</v>
      </c>
      <c r="E47" s="3">
        <v>-4</v>
      </c>
      <c r="F47" s="3">
        <f>361-G47</f>
        <v>-4</v>
      </c>
      <c r="G47" s="3">
        <v>365</v>
      </c>
      <c r="H47" s="3"/>
      <c r="I47" s="3">
        <f t="shared" si="35"/>
        <v>0</v>
      </c>
      <c r="J47" s="3"/>
      <c r="K47" s="3">
        <f>M47+N47+O47+P47</f>
        <v>0</v>
      </c>
      <c r="L47" s="3"/>
      <c r="M47" s="3"/>
      <c r="N47" s="3"/>
      <c r="O47" s="3">
        <f t="shared" si="30"/>
        <v>0</v>
      </c>
      <c r="P47" s="3">
        <f t="shared" si="30"/>
        <v>0</v>
      </c>
      <c r="Q47" s="3">
        <f t="shared" si="30"/>
        <v>0</v>
      </c>
      <c r="R47" s="3">
        <f t="shared" si="30"/>
        <v>0</v>
      </c>
      <c r="S47" s="3">
        <f t="shared" si="30"/>
        <v>0</v>
      </c>
      <c r="T47" s="3">
        <f t="shared" si="30"/>
        <v>0</v>
      </c>
      <c r="U47" s="3">
        <v>0</v>
      </c>
      <c r="V47" s="3">
        <v>0</v>
      </c>
      <c r="W47" s="3">
        <v>0</v>
      </c>
      <c r="X47" s="3">
        <v>0</v>
      </c>
      <c r="Y47" s="3">
        <f t="shared" si="31"/>
        <v>507</v>
      </c>
      <c r="Z47" s="3">
        <f>507-AA47-AB47-AC47</f>
        <v>0</v>
      </c>
      <c r="AA47" s="3">
        <f>507-507</f>
        <v>0</v>
      </c>
      <c r="AB47" s="3">
        <v>507</v>
      </c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4">
      <c r="A48" s="93" t="s">
        <v>116</v>
      </c>
      <c r="C48" s="3"/>
      <c r="D48" s="3">
        <v>0</v>
      </c>
      <c r="E48" s="3">
        <v>0</v>
      </c>
      <c r="F48" s="3"/>
      <c r="G48" s="3"/>
      <c r="H48" s="3"/>
      <c r="I48" s="3">
        <f t="shared" si="35"/>
        <v>0</v>
      </c>
      <c r="J48" s="3"/>
      <c r="K48" s="3"/>
      <c r="L48" s="3"/>
      <c r="M48" s="3"/>
      <c r="N48" s="3"/>
      <c r="O48" s="3">
        <f t="shared" si="30"/>
        <v>0</v>
      </c>
      <c r="P48" s="3">
        <v>0</v>
      </c>
      <c r="Q48" s="3">
        <f>28</f>
        <v>28</v>
      </c>
      <c r="R48" s="3">
        <f>-28+2834</f>
        <v>2806</v>
      </c>
      <c r="S48" s="3">
        <v>-2834</v>
      </c>
      <c r="T48" s="3">
        <f t="shared" si="30"/>
        <v>-2861</v>
      </c>
      <c r="U48" s="3">
        <f>-2861-V48-W48-X48</f>
        <v>-1769</v>
      </c>
      <c r="V48" s="3">
        <v>-1092</v>
      </c>
      <c r="W48" s="3">
        <v>0</v>
      </c>
      <c r="X48" s="3">
        <v>0</v>
      </c>
      <c r="Y48" s="3">
        <f t="shared" si="31"/>
        <v>633</v>
      </c>
      <c r="Z48" s="3">
        <f>633-AA48-AB48-AC48</f>
        <v>71</v>
      </c>
      <c r="AA48" s="3">
        <f>562+419-632</f>
        <v>349</v>
      </c>
      <c r="AB48" s="3">
        <f>213-632</f>
        <v>-419</v>
      </c>
      <c r="AC48" s="3">
        <v>632</v>
      </c>
      <c r="AD48" s="3">
        <v>-683</v>
      </c>
      <c r="AE48" s="3">
        <f>-683</f>
        <v>-683</v>
      </c>
      <c r="AF48" s="3">
        <f>0-(-51)</f>
        <v>51</v>
      </c>
      <c r="AG48" s="3">
        <f>-51-(-51)</f>
        <v>0</v>
      </c>
      <c r="AH48" s="3">
        <v>-51</v>
      </c>
      <c r="AI48" s="3">
        <v>0</v>
      </c>
      <c r="AJ48" s="3">
        <f t="shared" si="0"/>
        <v>1762</v>
      </c>
      <c r="AK48" s="3">
        <v>-1762</v>
      </c>
      <c r="AL48" s="3">
        <v>204</v>
      </c>
      <c r="AM48" s="3">
        <v>-204</v>
      </c>
      <c r="AN48" s="3">
        <v>0</v>
      </c>
      <c r="AO48" s="3">
        <f t="shared" si="32"/>
        <v>0</v>
      </c>
      <c r="AP48" s="3">
        <v>0</v>
      </c>
      <c r="AQ48" s="3">
        <v>0</v>
      </c>
      <c r="AR48" s="3">
        <v>0</v>
      </c>
    </row>
    <row r="49" spans="1:45">
      <c r="A49" s="93" t="s">
        <v>125</v>
      </c>
      <c r="B49" s="16"/>
      <c r="C49" s="3"/>
      <c r="D49" s="3">
        <v>0</v>
      </c>
      <c r="E49" s="3">
        <v>0</v>
      </c>
      <c r="F49" s="3"/>
      <c r="G49" s="3"/>
      <c r="H49" s="3"/>
      <c r="I49" s="3">
        <f t="shared" si="35"/>
        <v>0</v>
      </c>
      <c r="J49" s="3"/>
      <c r="K49" s="3">
        <f>M49+N49+O49+P49</f>
        <v>0</v>
      </c>
      <c r="L49" s="3"/>
      <c r="M49" s="3"/>
      <c r="N49" s="3"/>
      <c r="O49" s="3">
        <f t="shared" si="30"/>
        <v>0</v>
      </c>
      <c r="P49" s="3">
        <f t="shared" si="30"/>
        <v>0</v>
      </c>
      <c r="Q49" s="3">
        <f t="shared" si="30"/>
        <v>0</v>
      </c>
      <c r="R49" s="3">
        <f t="shared" si="30"/>
        <v>0</v>
      </c>
      <c r="S49" s="3">
        <f t="shared" si="30"/>
        <v>0</v>
      </c>
      <c r="T49" s="3">
        <f t="shared" si="30"/>
        <v>0</v>
      </c>
      <c r="U49" s="3">
        <v>0</v>
      </c>
      <c r="V49" s="3">
        <v>0</v>
      </c>
      <c r="W49" s="3">
        <v>0</v>
      </c>
      <c r="X49" s="3">
        <v>0</v>
      </c>
      <c r="Y49" s="3">
        <f t="shared" si="31"/>
        <v>0</v>
      </c>
      <c r="Z49" s="3">
        <f>0-AA49-AB49-AC49</f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f t="shared" si="0"/>
        <v>0</v>
      </c>
      <c r="AK49" s="3">
        <v>0</v>
      </c>
      <c r="AL49" s="3">
        <v>0</v>
      </c>
      <c r="AM49" s="3">
        <v>0</v>
      </c>
      <c r="AN49" s="3">
        <v>48000</v>
      </c>
      <c r="AO49" s="3">
        <f t="shared" si="32"/>
        <v>12000</v>
      </c>
      <c r="AP49" s="3">
        <v>12000</v>
      </c>
      <c r="AQ49" s="3">
        <v>12000</v>
      </c>
      <c r="AR49" s="3">
        <v>12000</v>
      </c>
      <c r="AS49" s="18"/>
    </row>
    <row r="50" spans="1:45" ht="16.5">
      <c r="A50" s="59" t="s">
        <v>53</v>
      </c>
      <c r="B50" s="27"/>
      <c r="C50" s="65">
        <f t="shared" ref="C50:AI50" si="37">SUM(C32:C49)</f>
        <v>-74974</v>
      </c>
      <c r="D50" s="65">
        <f t="shared" si="37"/>
        <v>617689</v>
      </c>
      <c r="E50" s="65">
        <f t="shared" si="37"/>
        <v>46346</v>
      </c>
      <c r="F50" s="65">
        <f t="shared" si="37"/>
        <v>525550</v>
      </c>
      <c r="G50" s="65">
        <f t="shared" si="37"/>
        <v>9112</v>
      </c>
      <c r="H50" s="65">
        <f t="shared" si="37"/>
        <v>36681</v>
      </c>
      <c r="I50" s="65">
        <f t="shared" si="37"/>
        <v>333539</v>
      </c>
      <c r="J50" s="65">
        <f t="shared" si="37"/>
        <v>-22892</v>
      </c>
      <c r="K50" s="65">
        <f t="shared" si="37"/>
        <v>-23351</v>
      </c>
      <c r="L50" s="65">
        <f t="shared" si="37"/>
        <v>379782</v>
      </c>
      <c r="M50" s="65">
        <f t="shared" si="37"/>
        <v>-5069</v>
      </c>
      <c r="N50" s="65">
        <f t="shared" si="37"/>
        <v>384851</v>
      </c>
      <c r="O50" s="65">
        <f t="shared" si="37"/>
        <v>473299</v>
      </c>
      <c r="P50" s="65">
        <f t="shared" si="37"/>
        <v>499379</v>
      </c>
      <c r="Q50" s="65">
        <f t="shared" si="37"/>
        <v>85425</v>
      </c>
      <c r="R50" s="65">
        <f t="shared" si="37"/>
        <v>-17522</v>
      </c>
      <c r="S50" s="65">
        <f t="shared" si="37"/>
        <v>-93983</v>
      </c>
      <c r="T50" s="65">
        <f t="shared" si="37"/>
        <v>574658</v>
      </c>
      <c r="U50" s="65">
        <f t="shared" si="37"/>
        <v>314472</v>
      </c>
      <c r="V50" s="65">
        <f t="shared" si="37"/>
        <v>59606</v>
      </c>
      <c r="W50" s="65">
        <f t="shared" si="37"/>
        <v>89387</v>
      </c>
      <c r="X50" s="65">
        <f t="shared" si="37"/>
        <v>111193</v>
      </c>
      <c r="Y50" s="65">
        <f t="shared" si="37"/>
        <v>443829</v>
      </c>
      <c r="Z50" s="65">
        <f t="shared" si="37"/>
        <v>-240992</v>
      </c>
      <c r="AA50" s="65">
        <f t="shared" si="37"/>
        <v>302834</v>
      </c>
      <c r="AB50" s="65">
        <f t="shared" si="37"/>
        <v>215283</v>
      </c>
      <c r="AC50" s="65">
        <f t="shared" si="37"/>
        <v>166704</v>
      </c>
      <c r="AD50" s="65">
        <f t="shared" si="37"/>
        <v>-620564</v>
      </c>
      <c r="AE50" s="65">
        <f t="shared" si="37"/>
        <v>-246083</v>
      </c>
      <c r="AF50" s="65">
        <f t="shared" si="37"/>
        <v>-154116</v>
      </c>
      <c r="AG50" s="65">
        <f t="shared" si="37"/>
        <v>797063</v>
      </c>
      <c r="AH50" s="65">
        <f t="shared" si="37"/>
        <v>-1017428</v>
      </c>
      <c r="AI50" s="65">
        <f t="shared" si="37"/>
        <v>57574</v>
      </c>
      <c r="AJ50" s="65">
        <f t="shared" si="0"/>
        <v>-495211</v>
      </c>
      <c r="AK50" s="65">
        <f t="shared" ref="AK50:AR50" si="38">SUM(AK32:AK49)</f>
        <v>123248</v>
      </c>
      <c r="AL50" s="65">
        <f t="shared" si="38"/>
        <v>560425</v>
      </c>
      <c r="AM50" s="65">
        <f t="shared" si="38"/>
        <v>-130888</v>
      </c>
      <c r="AN50" s="65">
        <f t="shared" si="38"/>
        <v>-1112316</v>
      </c>
      <c r="AO50" s="65">
        <f t="shared" si="38"/>
        <v>9700</v>
      </c>
      <c r="AP50" s="65">
        <f t="shared" si="38"/>
        <v>385707</v>
      </c>
      <c r="AQ50" s="65">
        <f t="shared" si="38"/>
        <v>-1025364</v>
      </c>
      <c r="AR50" s="65">
        <f t="shared" si="38"/>
        <v>-482359</v>
      </c>
      <c r="AS50" s="18"/>
    </row>
    <row r="51" spans="1:45" ht="16.5">
      <c r="A51" s="59"/>
      <c r="B51" s="27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S51" s="18"/>
    </row>
    <row r="52" spans="1:45" ht="16.5">
      <c r="A52" s="59" t="s">
        <v>60</v>
      </c>
      <c r="B52" s="27"/>
      <c r="C52" s="31"/>
      <c r="D52" s="31"/>
      <c r="E52" s="31"/>
      <c r="F52" s="31"/>
      <c r="G52" s="31"/>
      <c r="H52" s="31"/>
      <c r="I52" s="31"/>
      <c r="J52" s="31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8"/>
    </row>
    <row r="53" spans="1:45">
      <c r="A53" s="58" t="s">
        <v>72</v>
      </c>
      <c r="B53" s="27"/>
      <c r="C53" s="3">
        <v>256</v>
      </c>
      <c r="D53" s="3">
        <v>1160</v>
      </c>
      <c r="E53" s="3">
        <v>1154</v>
      </c>
      <c r="F53" s="3">
        <f>6-G53-H53</f>
        <v>6</v>
      </c>
      <c r="G53" s="3">
        <f>-3</f>
        <v>-3</v>
      </c>
      <c r="H53" s="3">
        <v>3</v>
      </c>
      <c r="I53" s="3">
        <f t="shared" ref="I53" si="39">J53+K53+M53+N53</f>
        <v>12</v>
      </c>
      <c r="J53" s="3">
        <f>12-SUM(K53,M53:N53)</f>
        <v>6</v>
      </c>
      <c r="K53" s="3">
        <v>6</v>
      </c>
      <c r="L53" s="3">
        <f t="shared" ref="L53:L55" si="40">M53+N53</f>
        <v>0</v>
      </c>
      <c r="M53" s="3">
        <f t="shared" ref="G53:T59" si="41">N53+O53+P53+Q53</f>
        <v>0</v>
      </c>
      <c r="N53" s="3">
        <f t="shared" si="41"/>
        <v>0</v>
      </c>
      <c r="O53" s="3">
        <f t="shared" si="41"/>
        <v>0</v>
      </c>
      <c r="P53" s="3">
        <f t="shared" si="41"/>
        <v>0</v>
      </c>
      <c r="Q53" s="3">
        <f t="shared" si="41"/>
        <v>0</v>
      </c>
      <c r="R53" s="3">
        <f t="shared" si="41"/>
        <v>0</v>
      </c>
      <c r="S53" s="3">
        <f t="shared" si="41"/>
        <v>0</v>
      </c>
      <c r="T53" s="3">
        <f t="shared" si="41"/>
        <v>0</v>
      </c>
      <c r="U53" s="3">
        <v>0</v>
      </c>
      <c r="V53" s="3">
        <v>0</v>
      </c>
      <c r="W53" s="3">
        <v>0</v>
      </c>
      <c r="X53" s="3">
        <v>0</v>
      </c>
      <c r="Y53" s="3">
        <f t="shared" ref="Y53:Y57" si="42">Z53+AA53+AB53+AC53</f>
        <v>0</v>
      </c>
      <c r="Z53" s="3">
        <f>0-AA53-AB53-AC53</f>
        <v>0</v>
      </c>
      <c r="AA53" s="3">
        <v>0</v>
      </c>
      <c r="AB53" s="3">
        <v>0</v>
      </c>
      <c r="AC53" s="3">
        <v>0</v>
      </c>
      <c r="AD53" s="3">
        <v>1126</v>
      </c>
      <c r="AE53" s="3">
        <v>1126</v>
      </c>
      <c r="AF53" s="3">
        <v>0</v>
      </c>
      <c r="AG53" s="3">
        <v>0</v>
      </c>
      <c r="AH53" s="3">
        <v>0</v>
      </c>
      <c r="AI53" s="3">
        <v>-6731</v>
      </c>
      <c r="AJ53" s="3">
        <f t="shared" si="0"/>
        <v>0</v>
      </c>
      <c r="AK53" s="3">
        <v>0</v>
      </c>
      <c r="AL53" s="3">
        <v>-6731</v>
      </c>
      <c r="AM53" s="3">
        <v>0</v>
      </c>
      <c r="AN53" s="3">
        <v>-77</v>
      </c>
      <c r="AO53" s="3">
        <f>AN53-SUM(AP53:AR53)</f>
        <v>-1024</v>
      </c>
      <c r="AP53" s="3">
        <v>0</v>
      </c>
      <c r="AQ53" s="3">
        <v>947</v>
      </c>
      <c r="AR53" s="3">
        <v>0</v>
      </c>
      <c r="AS53" s="18"/>
    </row>
    <row r="54" spans="1:45">
      <c r="A54" s="58" t="s">
        <v>202</v>
      </c>
      <c r="B54" s="27"/>
      <c r="C54" s="3">
        <v>-2663</v>
      </c>
      <c r="D54" s="3">
        <v>-33471</v>
      </c>
      <c r="E54" s="3">
        <v>-13141</v>
      </c>
      <c r="F54" s="3">
        <f>-20330-G54-H54</f>
        <v>-7457</v>
      </c>
      <c r="G54" s="3">
        <f>-12873+6098</f>
        <v>-6775</v>
      </c>
      <c r="H54" s="3">
        <v>-6098</v>
      </c>
      <c r="I54" s="3"/>
      <c r="J54" s="3"/>
      <c r="K54" s="3"/>
      <c r="L54" s="3">
        <f t="shared" si="40"/>
        <v>0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73"/>
      <c r="AR54" s="73"/>
      <c r="AS54" s="18"/>
    </row>
    <row r="55" spans="1:45">
      <c r="A55" s="58" t="s">
        <v>213</v>
      </c>
      <c r="B55" s="27"/>
      <c r="C55" s="3">
        <v>0</v>
      </c>
      <c r="D55" s="3">
        <v>14373</v>
      </c>
      <c r="E55" s="3">
        <v>-51</v>
      </c>
      <c r="F55" s="3">
        <f>14424-G55-H55</f>
        <v>0</v>
      </c>
      <c r="G55" s="3">
        <f>14424-725</f>
        <v>13699</v>
      </c>
      <c r="H55" s="3">
        <v>725</v>
      </c>
      <c r="I55" s="3"/>
      <c r="J55" s="3"/>
      <c r="K55" s="3"/>
      <c r="L55" s="3">
        <f t="shared" si="40"/>
        <v>0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73"/>
      <c r="AR55" s="73"/>
      <c r="AS55" s="18"/>
    </row>
    <row r="56" spans="1:45">
      <c r="A56" s="58" t="s">
        <v>214</v>
      </c>
      <c r="B56" s="27"/>
      <c r="C56" s="3">
        <v>0</v>
      </c>
      <c r="D56" s="3">
        <v>105</v>
      </c>
      <c r="E56" s="3">
        <v>105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73"/>
      <c r="AR56" s="73"/>
      <c r="AS56" s="18"/>
    </row>
    <row r="57" spans="1:45">
      <c r="A57" s="58" t="s">
        <v>76</v>
      </c>
      <c r="B57" s="27"/>
      <c r="C57" s="3">
        <v>0</v>
      </c>
      <c r="D57" s="3">
        <v>0</v>
      </c>
      <c r="E57" s="3">
        <v>0</v>
      </c>
      <c r="F57" s="3">
        <f>G57+H57+I57+J57</f>
        <v>0</v>
      </c>
      <c r="G57" s="3">
        <f t="shared" si="41"/>
        <v>0</v>
      </c>
      <c r="H57" s="3">
        <f>I57+J57+K57+M57</f>
        <v>0</v>
      </c>
      <c r="I57" s="3">
        <f>J57+K57+M57+N57</f>
        <v>0</v>
      </c>
      <c r="J57" s="3"/>
      <c r="K57" s="3">
        <f>M57+N57+O57+P57</f>
        <v>0</v>
      </c>
      <c r="L57" s="3"/>
      <c r="M57" s="3">
        <f t="shared" si="41"/>
        <v>0</v>
      </c>
      <c r="N57" s="3">
        <f t="shared" si="41"/>
        <v>0</v>
      </c>
      <c r="O57" s="3">
        <f t="shared" si="41"/>
        <v>0</v>
      </c>
      <c r="P57" s="3">
        <f t="shared" si="41"/>
        <v>0</v>
      </c>
      <c r="Q57" s="3">
        <f t="shared" si="41"/>
        <v>0</v>
      </c>
      <c r="R57" s="3">
        <f t="shared" si="41"/>
        <v>0</v>
      </c>
      <c r="S57" s="3">
        <f t="shared" si="41"/>
        <v>0</v>
      </c>
      <c r="T57" s="3">
        <f t="shared" si="41"/>
        <v>0</v>
      </c>
      <c r="U57" s="3">
        <v>0</v>
      </c>
      <c r="V57" s="3">
        <v>0</v>
      </c>
      <c r="W57" s="3">
        <v>0</v>
      </c>
      <c r="X57" s="3">
        <v>0</v>
      </c>
      <c r="Y57" s="3">
        <f t="shared" si="42"/>
        <v>-239526</v>
      </c>
      <c r="Z57" s="3">
        <f>-239526-AA57-AB57-AC57</f>
        <v>0</v>
      </c>
      <c r="AA57" s="3">
        <v>-239526</v>
      </c>
      <c r="AB57" s="3">
        <v>0</v>
      </c>
      <c r="AC57" s="3">
        <v>0</v>
      </c>
      <c r="AD57" s="3">
        <v>-688910</v>
      </c>
      <c r="AE57" s="3">
        <f>-688910+688910</f>
        <v>0</v>
      </c>
      <c r="AF57" s="3">
        <v>-688910</v>
      </c>
      <c r="AG57" s="3">
        <v>0</v>
      </c>
      <c r="AH57" s="3">
        <v>0</v>
      </c>
      <c r="AI57" s="3">
        <v>-595053</v>
      </c>
      <c r="AJ57" s="3">
        <f t="shared" si="0"/>
        <v>0</v>
      </c>
      <c r="AK57" s="3">
        <v>-595053</v>
      </c>
      <c r="AL57" s="3">
        <v>0</v>
      </c>
      <c r="AM57" s="3">
        <v>0</v>
      </c>
      <c r="AN57" s="3">
        <v>-520696</v>
      </c>
      <c r="AO57" s="3">
        <f>AN57-SUM(AP57:AR57)</f>
        <v>0</v>
      </c>
      <c r="AP57" s="3">
        <v>-520696</v>
      </c>
      <c r="AQ57" s="73"/>
      <c r="AR57" s="73"/>
      <c r="AS57" s="18"/>
    </row>
    <row r="58" spans="1:45">
      <c r="A58" s="58" t="s">
        <v>123</v>
      </c>
      <c r="B58" s="27"/>
      <c r="C58" s="3">
        <v>-6539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/>
      <c r="K58" s="3">
        <v>0</v>
      </c>
      <c r="L58" s="3"/>
      <c r="M58" s="3">
        <v>0</v>
      </c>
      <c r="N58" s="3">
        <v>0</v>
      </c>
      <c r="O58" s="3">
        <f t="shared" si="41"/>
        <v>-46950</v>
      </c>
      <c r="P58" s="3">
        <f>-46950-Q58-R58-S58</f>
        <v>0</v>
      </c>
      <c r="Q58" s="3">
        <f>46950-46950</f>
        <v>0</v>
      </c>
      <c r="R58" s="3">
        <f>-46950+2489</f>
        <v>-44461</v>
      </c>
      <c r="S58" s="3">
        <v>-2489</v>
      </c>
      <c r="T58" s="3">
        <f t="shared" si="41"/>
        <v>-53279</v>
      </c>
      <c r="U58" s="3">
        <v>0</v>
      </c>
      <c r="V58" s="3">
        <v>-53279</v>
      </c>
      <c r="W58" s="3">
        <v>0</v>
      </c>
      <c r="X58" s="3">
        <v>0</v>
      </c>
      <c r="Y58" s="3">
        <f t="shared" ref="Y58" si="43">Z58+AA58+AB58+AC58</f>
        <v>-41433</v>
      </c>
      <c r="Z58" s="3">
        <f>-41433-AA58-AB58-AC58</f>
        <v>0</v>
      </c>
      <c r="AA58" s="3">
        <v>-41433</v>
      </c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73"/>
      <c r="AR58" s="73"/>
      <c r="AS58" s="18"/>
    </row>
    <row r="59" spans="1:45">
      <c r="A59" s="58" t="s">
        <v>122</v>
      </c>
      <c r="B59" s="27"/>
      <c r="C59" s="3">
        <v>0</v>
      </c>
      <c r="D59" s="3">
        <v>27679</v>
      </c>
      <c r="E59" s="3">
        <v>0</v>
      </c>
      <c r="F59" s="3">
        <v>27679</v>
      </c>
      <c r="G59" s="3">
        <v>0</v>
      </c>
      <c r="H59" s="3">
        <v>0</v>
      </c>
      <c r="I59" s="3">
        <v>13247</v>
      </c>
      <c r="J59" s="3"/>
      <c r="K59" s="3">
        <v>13247</v>
      </c>
      <c r="L59" s="3"/>
      <c r="M59" s="3">
        <v>0</v>
      </c>
      <c r="N59" s="3">
        <v>0</v>
      </c>
      <c r="O59" s="3">
        <f t="shared" si="41"/>
        <v>11927</v>
      </c>
      <c r="P59" s="3">
        <f>11891-Q59-R59-S59+36</f>
        <v>0</v>
      </c>
      <c r="Q59" s="3">
        <f>11891+36</f>
        <v>11927</v>
      </c>
      <c r="R59" s="3">
        <v>0</v>
      </c>
      <c r="S59" s="3">
        <v>0</v>
      </c>
      <c r="T59" s="3">
        <f t="shared" si="41"/>
        <v>6644</v>
      </c>
      <c r="U59" s="3">
        <v>6644</v>
      </c>
      <c r="V59" s="3">
        <v>0</v>
      </c>
      <c r="W59" s="3">
        <v>0</v>
      </c>
      <c r="X59" s="3">
        <v>0</v>
      </c>
      <c r="Y59" s="3">
        <f t="shared" ref="Y59" si="44">Z59+AA59+AB59+AC59</f>
        <v>9583</v>
      </c>
      <c r="Z59" s="3">
        <f>9583-AA59-AB59-AC59</f>
        <v>9583</v>
      </c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18"/>
    </row>
    <row r="60" spans="1:45" ht="16.5">
      <c r="A60" s="59" t="s">
        <v>61</v>
      </c>
      <c r="B60" s="27"/>
      <c r="C60" s="65">
        <f t="shared" ref="C60" si="45">SUM(C53:C59)</f>
        <v>-8946</v>
      </c>
      <c r="D60" s="65">
        <f t="shared" ref="D60:E60" si="46">SUM(D53:D59)</f>
        <v>9846</v>
      </c>
      <c r="E60" s="65">
        <f t="shared" si="46"/>
        <v>-11933</v>
      </c>
      <c r="F60" s="65">
        <f t="shared" ref="F60:Z60" si="47">SUM(F53:F59)</f>
        <v>20228</v>
      </c>
      <c r="G60" s="65">
        <f t="shared" si="47"/>
        <v>6921</v>
      </c>
      <c r="H60" s="65">
        <f t="shared" si="47"/>
        <v>-5370</v>
      </c>
      <c r="I60" s="65">
        <f t="shared" si="47"/>
        <v>13259</v>
      </c>
      <c r="J60" s="65">
        <f t="shared" si="47"/>
        <v>6</v>
      </c>
      <c r="K60" s="65">
        <f t="shared" si="47"/>
        <v>13253</v>
      </c>
      <c r="L60" s="65">
        <f t="shared" si="47"/>
        <v>0</v>
      </c>
      <c r="M60" s="65">
        <f t="shared" si="47"/>
        <v>0</v>
      </c>
      <c r="N60" s="65">
        <f t="shared" si="47"/>
        <v>0</v>
      </c>
      <c r="O60" s="65">
        <f t="shared" si="47"/>
        <v>-35023</v>
      </c>
      <c r="P60" s="65">
        <f t="shared" si="47"/>
        <v>0</v>
      </c>
      <c r="Q60" s="65">
        <f t="shared" si="47"/>
        <v>11927</v>
      </c>
      <c r="R60" s="65">
        <f t="shared" si="47"/>
        <v>-44461</v>
      </c>
      <c r="S60" s="65">
        <f t="shared" si="47"/>
        <v>-2489</v>
      </c>
      <c r="T60" s="65">
        <f t="shared" si="47"/>
        <v>-46635</v>
      </c>
      <c r="U60" s="65">
        <f t="shared" si="47"/>
        <v>6644</v>
      </c>
      <c r="V60" s="65">
        <f t="shared" si="47"/>
        <v>-53279</v>
      </c>
      <c r="W60" s="65">
        <f t="shared" si="47"/>
        <v>0</v>
      </c>
      <c r="X60" s="65">
        <f t="shared" si="47"/>
        <v>0</v>
      </c>
      <c r="Y60" s="65">
        <f t="shared" si="47"/>
        <v>-271376</v>
      </c>
      <c r="Z60" s="65">
        <f t="shared" si="47"/>
        <v>9583</v>
      </c>
      <c r="AA60" s="65">
        <f>SUM(AA53:AA58)</f>
        <v>-280959</v>
      </c>
      <c r="AB60" s="65">
        <f t="shared" ref="AB60:AI60" si="48">SUM(AB53:AB57)</f>
        <v>0</v>
      </c>
      <c r="AC60" s="65">
        <f t="shared" si="48"/>
        <v>0</v>
      </c>
      <c r="AD60" s="65">
        <f t="shared" si="48"/>
        <v>-687784</v>
      </c>
      <c r="AE60" s="65">
        <f t="shared" si="48"/>
        <v>1126</v>
      </c>
      <c r="AF60" s="65">
        <f t="shared" si="48"/>
        <v>-688910</v>
      </c>
      <c r="AG60" s="65">
        <f t="shared" si="48"/>
        <v>0</v>
      </c>
      <c r="AH60" s="65">
        <f t="shared" si="48"/>
        <v>0</v>
      </c>
      <c r="AI60" s="65">
        <f t="shared" si="48"/>
        <v>-601784</v>
      </c>
      <c r="AJ60" s="65">
        <f t="shared" si="0"/>
        <v>0</v>
      </c>
      <c r="AK60" s="65">
        <v>-595053</v>
      </c>
      <c r="AL60" s="65">
        <f t="shared" ref="AL60:AR60" si="49">SUM(AL53:AL57)</f>
        <v>-6731</v>
      </c>
      <c r="AM60" s="65">
        <f t="shared" si="49"/>
        <v>0</v>
      </c>
      <c r="AN60" s="65">
        <f t="shared" si="49"/>
        <v>-520773</v>
      </c>
      <c r="AO60" s="65">
        <f t="shared" si="49"/>
        <v>-1024</v>
      </c>
      <c r="AP60" s="65">
        <f t="shared" si="49"/>
        <v>-520696</v>
      </c>
      <c r="AQ60" s="65">
        <f t="shared" si="49"/>
        <v>947</v>
      </c>
      <c r="AR60" s="65">
        <f t="shared" si="49"/>
        <v>0</v>
      </c>
      <c r="AS60" s="18"/>
    </row>
    <row r="61" spans="1:45">
      <c r="A61" s="14"/>
      <c r="B61" s="27"/>
      <c r="C61" s="23"/>
      <c r="D61" s="23"/>
      <c r="E61" s="23"/>
      <c r="F61" s="23"/>
      <c r="G61" s="23"/>
      <c r="H61" s="23"/>
      <c r="I61" s="23"/>
      <c r="J61" s="23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S61" s="18"/>
    </row>
    <row r="62" spans="1:45" ht="16.5">
      <c r="A62" s="61" t="s">
        <v>54</v>
      </c>
      <c r="B62" s="27"/>
      <c r="C62" s="3">
        <v>-4515</v>
      </c>
      <c r="D62" s="3">
        <v>-5103</v>
      </c>
      <c r="E62" s="3">
        <v>24723</v>
      </c>
      <c r="F62" s="3">
        <f>-29826-G62-H62</f>
        <v>-33760</v>
      </c>
      <c r="G62" s="3">
        <f>3934-2300</f>
        <v>1634</v>
      </c>
      <c r="H62" s="3">
        <v>2300</v>
      </c>
      <c r="I62" s="3">
        <f t="shared" ref="I62" si="50">J62+K62+M62+N62</f>
        <v>2051</v>
      </c>
      <c r="J62" s="3">
        <f>2051-SUM(K62,M62:N62)</f>
        <v>3652</v>
      </c>
      <c r="K62" s="3">
        <f>-1601-1464+728</f>
        <v>-2337</v>
      </c>
      <c r="L62" s="3">
        <f t="shared" ref="L62" si="51">M62+N62</f>
        <v>736</v>
      </c>
      <c r="M62" s="3">
        <f>736+728</f>
        <v>1464</v>
      </c>
      <c r="N62" s="3">
        <v>-728</v>
      </c>
      <c r="O62" s="3">
        <f t="shared" ref="O62" si="52">P62+Q62+R62+S62</f>
        <v>-4745</v>
      </c>
      <c r="P62" s="3">
        <f>-4745-Q62-R62-S62</f>
        <v>1815</v>
      </c>
      <c r="Q62" s="3">
        <f>-6560+6860</f>
        <v>300</v>
      </c>
      <c r="R62" s="3">
        <f>-6860+10205</f>
        <v>3345</v>
      </c>
      <c r="S62" s="3">
        <v>-10205</v>
      </c>
      <c r="T62" s="3">
        <f t="shared" ref="T62" si="53">U62+V62+W62+X62</f>
        <v>-23798</v>
      </c>
      <c r="U62" s="3">
        <f>-23798-V62-W62-X62</f>
        <v>-11686</v>
      </c>
      <c r="V62" s="3">
        <f>-12112+5893+599</f>
        <v>-5620</v>
      </c>
      <c r="W62" s="3">
        <f>-6492+599</f>
        <v>-5893</v>
      </c>
      <c r="X62" s="3">
        <v>-599</v>
      </c>
      <c r="Y62" s="3">
        <f t="shared" ref="Y62" si="54">Z62+AA62+AB62+AC62</f>
        <v>-9571</v>
      </c>
      <c r="Z62" s="3">
        <f>-9571-AA62-AB62-AC62</f>
        <v>-6771</v>
      </c>
      <c r="AA62" s="3">
        <v>7521</v>
      </c>
      <c r="AB62" s="3">
        <f>-10321-(-10051)</f>
        <v>-270</v>
      </c>
      <c r="AC62" s="3">
        <v>-10051</v>
      </c>
      <c r="AD62" s="3">
        <v>11460</v>
      </c>
      <c r="AE62" s="3">
        <v>6928</v>
      </c>
      <c r="AF62" s="3">
        <f>4532-(-4027)</f>
        <v>8559</v>
      </c>
      <c r="AG62" s="3">
        <f>-4027-(-173)</f>
        <v>-3854</v>
      </c>
      <c r="AH62" s="3">
        <v>-173</v>
      </c>
      <c r="AI62" s="3">
        <v>17075</v>
      </c>
      <c r="AJ62" s="3">
        <f t="shared" si="0"/>
        <v>11973</v>
      </c>
      <c r="AK62" s="3">
        <v>-258</v>
      </c>
      <c r="AL62" s="3">
        <v>-747</v>
      </c>
      <c r="AM62" s="3">
        <v>6107</v>
      </c>
      <c r="AN62" s="3">
        <v>-29630</v>
      </c>
      <c r="AO62" s="3">
        <f>AN62-SUM(AP62:AR62)</f>
        <v>-24361</v>
      </c>
      <c r="AP62" s="3">
        <v>-154</v>
      </c>
      <c r="AQ62" s="3">
        <v>-1408</v>
      </c>
      <c r="AR62" s="3">
        <v>-3707</v>
      </c>
      <c r="AS62" s="18"/>
    </row>
    <row r="63" spans="1:45">
      <c r="A63" s="62"/>
      <c r="B63" s="2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18"/>
    </row>
    <row r="64" spans="1:45" ht="16.5">
      <c r="A64" s="61" t="s">
        <v>55</v>
      </c>
      <c r="B64" s="16"/>
      <c r="C64" s="3">
        <f t="shared" ref="C64:AN64" si="55">C29+C50+C60+C62</f>
        <v>-134097</v>
      </c>
      <c r="D64" s="3">
        <f t="shared" si="55"/>
        <v>618905</v>
      </c>
      <c r="E64" s="3">
        <f t="shared" si="55"/>
        <v>217620</v>
      </c>
      <c r="F64" s="3">
        <f t="shared" si="55"/>
        <v>454928</v>
      </c>
      <c r="G64" s="3">
        <f t="shared" si="55"/>
        <v>82</v>
      </c>
      <c r="H64" s="3">
        <f t="shared" si="55"/>
        <v>-53725</v>
      </c>
      <c r="I64" s="3">
        <f t="shared" si="55"/>
        <v>9088</v>
      </c>
      <c r="J64" s="3">
        <f t="shared" si="55"/>
        <v>-61549</v>
      </c>
      <c r="K64" s="3">
        <f t="shared" si="55"/>
        <v>188317</v>
      </c>
      <c r="L64" s="3">
        <f t="shared" si="55"/>
        <v>-117680</v>
      </c>
      <c r="M64" s="3">
        <f t="shared" si="55"/>
        <v>-326346</v>
      </c>
      <c r="N64" s="3">
        <f t="shared" si="55"/>
        <v>208666</v>
      </c>
      <c r="O64" s="3">
        <f t="shared" si="55"/>
        <v>-347544</v>
      </c>
      <c r="P64" s="3">
        <f t="shared" si="55"/>
        <v>206379</v>
      </c>
      <c r="Q64" s="3">
        <f t="shared" si="55"/>
        <v>-206462</v>
      </c>
      <c r="R64" s="3">
        <f t="shared" si="55"/>
        <v>20657</v>
      </c>
      <c r="S64" s="3">
        <f t="shared" si="55"/>
        <v>-368118</v>
      </c>
      <c r="T64" s="3">
        <f t="shared" si="55"/>
        <v>381114</v>
      </c>
      <c r="U64" s="3">
        <f t="shared" si="55"/>
        <v>401217</v>
      </c>
      <c r="V64" s="3">
        <f t="shared" si="55"/>
        <v>-43872</v>
      </c>
      <c r="W64" s="3">
        <f t="shared" si="55"/>
        <v>36121</v>
      </c>
      <c r="X64" s="3">
        <f t="shared" si="55"/>
        <v>-12352</v>
      </c>
      <c r="Y64" s="3">
        <f t="shared" si="55"/>
        <v>255288</v>
      </c>
      <c r="Z64" s="3">
        <f t="shared" si="55"/>
        <v>-101299</v>
      </c>
      <c r="AA64" s="3">
        <f t="shared" si="55"/>
        <v>182040</v>
      </c>
      <c r="AB64" s="3">
        <f t="shared" si="55"/>
        <v>-143374</v>
      </c>
      <c r="AC64" s="3">
        <f t="shared" si="55"/>
        <v>317921</v>
      </c>
      <c r="AD64" s="3">
        <f t="shared" si="55"/>
        <v>-1158489</v>
      </c>
      <c r="AE64" s="3">
        <f t="shared" si="55"/>
        <v>-106490</v>
      </c>
      <c r="AF64" s="3">
        <f t="shared" si="55"/>
        <v>-876231</v>
      </c>
      <c r="AG64" s="3">
        <f t="shared" si="55"/>
        <v>641002</v>
      </c>
      <c r="AH64" s="3">
        <f t="shared" si="55"/>
        <v>-816770</v>
      </c>
      <c r="AI64" s="3">
        <f t="shared" si="55"/>
        <v>-386073</v>
      </c>
      <c r="AJ64" s="3">
        <f t="shared" si="55"/>
        <v>-165813</v>
      </c>
      <c r="AK64" s="3">
        <f t="shared" si="55"/>
        <v>-638283</v>
      </c>
      <c r="AL64" s="3">
        <f t="shared" si="55"/>
        <v>508193</v>
      </c>
      <c r="AM64" s="3">
        <f t="shared" si="55"/>
        <v>-90170</v>
      </c>
      <c r="AN64" s="3">
        <f t="shared" si="55"/>
        <v>-558219</v>
      </c>
      <c r="AO64" s="3">
        <f>AN64-SUM(AP64:AR64)</f>
        <v>209261</v>
      </c>
      <c r="AP64" s="3">
        <f>AP29+AP50+AP60+AP62</f>
        <v>-252743</v>
      </c>
      <c r="AQ64" s="3">
        <f>AQ29+AQ50+AQ60+AQ62</f>
        <v>-658506</v>
      </c>
      <c r="AR64" s="3">
        <f>AR29+AR50+AR60+AR62</f>
        <v>143769</v>
      </c>
      <c r="AS64" s="17"/>
    </row>
    <row r="65" spans="1:44">
      <c r="A65" s="63"/>
      <c r="B65" s="1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ht="16.5">
      <c r="A66" s="61" t="s">
        <v>56</v>
      </c>
      <c r="B66" s="16"/>
      <c r="C66" s="3">
        <v>1335729</v>
      </c>
      <c r="D66" s="3">
        <f>I68</f>
        <v>716824</v>
      </c>
      <c r="E66" s="3">
        <f>F68</f>
        <v>1118109</v>
      </c>
      <c r="F66" s="3">
        <v>663181</v>
      </c>
      <c r="G66" s="3">
        <f>H68</f>
        <v>663099</v>
      </c>
      <c r="H66" s="3">
        <v>716824</v>
      </c>
      <c r="I66" s="3">
        <f>O68</f>
        <v>707736</v>
      </c>
      <c r="J66" s="3">
        <f>K68</f>
        <v>778373</v>
      </c>
      <c r="K66" s="3">
        <f>M68</f>
        <v>590056</v>
      </c>
      <c r="L66" s="3">
        <f>N66</f>
        <v>707736</v>
      </c>
      <c r="M66" s="3">
        <f>N68</f>
        <v>916402</v>
      </c>
      <c r="N66" s="3">
        <f>O68</f>
        <v>707736</v>
      </c>
      <c r="O66" s="3">
        <f>T68</f>
        <v>1055280</v>
      </c>
      <c r="P66" s="3">
        <f>Q68</f>
        <v>501357</v>
      </c>
      <c r="Q66" s="3">
        <f>R68</f>
        <v>707819</v>
      </c>
      <c r="R66" s="3">
        <f>S68</f>
        <v>687162</v>
      </c>
      <c r="S66" s="3">
        <f>U68</f>
        <v>1055280</v>
      </c>
      <c r="T66" s="3">
        <f>Y68</f>
        <v>674166</v>
      </c>
      <c r="U66" s="3">
        <f>V68</f>
        <v>654063</v>
      </c>
      <c r="V66" s="3">
        <f>W68</f>
        <v>697935</v>
      </c>
      <c r="W66" s="3">
        <f>X68</f>
        <v>661814</v>
      </c>
      <c r="X66" s="3">
        <f>Y68</f>
        <v>674166</v>
      </c>
      <c r="Y66" s="3">
        <f>AD68</f>
        <v>418878</v>
      </c>
      <c r="Z66" s="3">
        <f>AA68</f>
        <v>775465</v>
      </c>
      <c r="AA66" s="3">
        <f>AB68</f>
        <v>593425</v>
      </c>
      <c r="AB66" s="3">
        <f>AC68</f>
        <v>736799</v>
      </c>
      <c r="AC66" s="3">
        <f>AD68</f>
        <v>418878</v>
      </c>
      <c r="AD66" s="3">
        <f>AI68</f>
        <v>1577367</v>
      </c>
      <c r="AE66" s="3">
        <f>AF68</f>
        <v>525368</v>
      </c>
      <c r="AF66" s="3">
        <f>AG68</f>
        <v>1401599</v>
      </c>
      <c r="AG66" s="3">
        <f>AH68</f>
        <v>760597</v>
      </c>
      <c r="AH66" s="3">
        <f>AI68</f>
        <v>1577367</v>
      </c>
      <c r="AI66" s="3">
        <f>AM66</f>
        <v>1963440</v>
      </c>
      <c r="AJ66" s="3">
        <f>AK68</f>
        <v>1743180</v>
      </c>
      <c r="AK66" s="3">
        <f>AL68</f>
        <v>2381463</v>
      </c>
      <c r="AL66" s="3">
        <v>1873270</v>
      </c>
      <c r="AM66" s="3">
        <v>1963440</v>
      </c>
      <c r="AN66" s="3">
        <f>AR66</f>
        <v>2521659</v>
      </c>
      <c r="AO66" s="3">
        <f>AP68</f>
        <v>1754179</v>
      </c>
      <c r="AP66" s="3">
        <v>2006922</v>
      </c>
      <c r="AQ66" s="3">
        <v>2665428</v>
      </c>
      <c r="AR66" s="3">
        <v>2521659</v>
      </c>
    </row>
    <row r="67" spans="1:44">
      <c r="A67" s="64"/>
      <c r="B67" s="1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3"/>
      <c r="AK67" s="66"/>
      <c r="AL67" s="66"/>
      <c r="AM67" s="66"/>
      <c r="AN67" s="66"/>
      <c r="AO67" s="66"/>
      <c r="AP67" s="3"/>
      <c r="AQ67" s="3"/>
      <c r="AR67" s="3"/>
    </row>
    <row r="68" spans="1:44" ht="17.25" thickBot="1">
      <c r="A68" s="61" t="s">
        <v>57</v>
      </c>
      <c r="B68" s="16"/>
      <c r="C68" s="67">
        <f t="shared" ref="C68" si="56">C64+C66</f>
        <v>1201632</v>
      </c>
      <c r="D68" s="67">
        <f t="shared" ref="D68:E68" si="57">D64+D66</f>
        <v>1335729</v>
      </c>
      <c r="E68" s="67">
        <f t="shared" si="57"/>
        <v>1335729</v>
      </c>
      <c r="F68" s="67">
        <f>F64+F66</f>
        <v>1118109</v>
      </c>
      <c r="G68" s="67">
        <f t="shared" ref="G68:L68" si="58">G64+G66</f>
        <v>663181</v>
      </c>
      <c r="H68" s="67">
        <f t="shared" si="58"/>
        <v>663099</v>
      </c>
      <c r="I68" s="67">
        <f t="shared" si="58"/>
        <v>716824</v>
      </c>
      <c r="J68" s="67">
        <f t="shared" si="58"/>
        <v>716824</v>
      </c>
      <c r="K68" s="67">
        <f t="shared" si="58"/>
        <v>778373</v>
      </c>
      <c r="L68" s="67">
        <f t="shared" si="58"/>
        <v>590056</v>
      </c>
      <c r="M68" s="67">
        <f t="shared" ref="M68" si="59">M64+M66</f>
        <v>590056</v>
      </c>
      <c r="N68" s="67">
        <f t="shared" ref="N68:O68" si="60">N64+N66</f>
        <v>916402</v>
      </c>
      <c r="O68" s="67">
        <f t="shared" si="60"/>
        <v>707736</v>
      </c>
      <c r="P68" s="67">
        <f t="shared" ref="P68" si="61">P64+P66</f>
        <v>707736</v>
      </c>
      <c r="Q68" s="67">
        <f t="shared" ref="Q68:R68" si="62">Q64+Q66</f>
        <v>501357</v>
      </c>
      <c r="R68" s="67">
        <f t="shared" si="62"/>
        <v>707819</v>
      </c>
      <c r="S68" s="67">
        <f t="shared" ref="S68:T68" si="63">S64+S66</f>
        <v>687162</v>
      </c>
      <c r="T68" s="67">
        <f t="shared" si="63"/>
        <v>1055280</v>
      </c>
      <c r="U68" s="67">
        <f t="shared" ref="U68" si="64">U64+U66</f>
        <v>1055280</v>
      </c>
      <c r="V68" s="67">
        <f t="shared" ref="V68:W68" si="65">V64+V66</f>
        <v>654063</v>
      </c>
      <c r="W68" s="67">
        <f t="shared" si="65"/>
        <v>697935</v>
      </c>
      <c r="X68" s="67">
        <f t="shared" ref="X68:Y68" si="66">X64+X66</f>
        <v>661814</v>
      </c>
      <c r="Y68" s="67">
        <f t="shared" si="66"/>
        <v>674166</v>
      </c>
      <c r="Z68" s="67">
        <f t="shared" ref="Z68:AA68" si="67">Z64+Z66</f>
        <v>674166</v>
      </c>
      <c r="AA68" s="67">
        <f t="shared" si="67"/>
        <v>775465</v>
      </c>
      <c r="AB68" s="67">
        <f t="shared" ref="AB68:AG68" si="68">AB64+AB66</f>
        <v>593425</v>
      </c>
      <c r="AC68" s="67">
        <f t="shared" si="68"/>
        <v>736799</v>
      </c>
      <c r="AD68" s="67">
        <f t="shared" si="68"/>
        <v>418878</v>
      </c>
      <c r="AE68" s="67">
        <f t="shared" si="68"/>
        <v>418878</v>
      </c>
      <c r="AF68" s="67">
        <f t="shared" si="68"/>
        <v>525368</v>
      </c>
      <c r="AG68" s="67">
        <f t="shared" si="68"/>
        <v>1401599</v>
      </c>
      <c r="AH68" s="67">
        <f t="shared" ref="AH68:AM68" si="69">AH64+AH66</f>
        <v>760597</v>
      </c>
      <c r="AI68" s="67">
        <f t="shared" si="69"/>
        <v>1577367</v>
      </c>
      <c r="AJ68" s="67">
        <f t="shared" si="69"/>
        <v>1577367</v>
      </c>
      <c r="AK68" s="67">
        <f t="shared" si="69"/>
        <v>1743180</v>
      </c>
      <c r="AL68" s="67">
        <f t="shared" si="69"/>
        <v>2381463</v>
      </c>
      <c r="AM68" s="67">
        <f t="shared" si="69"/>
        <v>1873270</v>
      </c>
      <c r="AN68" s="67">
        <f>-AN64+AN66</f>
        <v>3079878</v>
      </c>
      <c r="AO68" s="67">
        <f>AO64+AO66</f>
        <v>1963440</v>
      </c>
      <c r="AP68" s="67">
        <v>1754179</v>
      </c>
      <c r="AQ68" s="67">
        <f>AQ66+AQ64</f>
        <v>2006922</v>
      </c>
      <c r="AR68" s="67">
        <f>AR64+AR66</f>
        <v>2665428</v>
      </c>
    </row>
    <row r="69" spans="1:44" ht="16.5" thickTop="1">
      <c r="A69" s="60"/>
      <c r="B69" s="16"/>
      <c r="C69" s="31"/>
      <c r="D69" s="31"/>
      <c r="E69" s="31"/>
      <c r="F69" s="31"/>
      <c r="G69" s="31"/>
      <c r="H69" s="31"/>
      <c r="I69" s="31"/>
      <c r="J69" s="31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</row>
    <row r="70" spans="1:44">
      <c r="B70" s="16"/>
      <c r="E70" s="101"/>
    </row>
    <row r="71" spans="1:44">
      <c r="B71" s="16"/>
    </row>
  </sheetData>
  <customSheetViews>
    <customSheetView guid="{6CC4FA47-4F74-48A0-8033-8683B05A3BC4}" topLeftCell="A7">
      <selection activeCell="A17" sqref="A17"/>
      <pageMargins left="0.7" right="0.7" top="0.75" bottom="0.75" header="0.3" footer="0.3"/>
      <pageSetup paperSize="9" orientation="portrait" r:id="rId1"/>
    </customSheetView>
    <customSheetView guid="{293A8923-ED08-4701-85A2-A97D5F3D44EF}" hiddenColumns="1">
      <selection activeCell="C10" sqref="C10"/>
      <pageMargins left="0.7" right="0.7" top="0.75" bottom="0.75" header="0.3" footer="0.3"/>
      <pageSetup paperSize="9" orientation="portrait" r:id="rId2"/>
    </customSheetView>
  </customSheetViews>
  <phoneticPr fontId="1" type="noConversion"/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3</vt:i4>
      </vt:variant>
    </vt:vector>
  </HeadingPairs>
  <TitlesOfParts>
    <vt:vector size="8" baseType="lpstr">
      <vt:lpstr>年度簡明合併損益表</vt:lpstr>
      <vt:lpstr>季度簡明合併損益表</vt:lpstr>
      <vt:lpstr>簡明年度合併資產負債表 </vt:lpstr>
      <vt:lpstr>簡明合併資產負債表</vt:lpstr>
      <vt:lpstr>簡明現金流量變動表</vt:lpstr>
      <vt:lpstr>季度簡明合併損益表!Print_Area</vt:lpstr>
      <vt:lpstr>簡明合併資產負債表!Print_Area</vt:lpstr>
      <vt:lpstr>'簡明年度合併資產負債表 '!Print_Area</vt:lpstr>
    </vt:vector>
  </TitlesOfParts>
  <Company>ALi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唐婕</dc:creator>
  <cp:keywords>Copyright (c) 2013 ALi Corp. All Rights Reserved</cp:keywords>
  <dc:description>/****************************************************************************************************_x000d_
*   Copyright (c) 2013 ALi Corp. All Rights Reserved_x000d_
*   This source is confidential/strictly confidential and is ALi's proprietary information._x000d_
*   This source is subject to ALi License Agreement, and shall be kept strictly confidential. _x000d_
*   Any disclosure of this source without authorization is prohibited._x000d_
 _x000d_
*   THIS CODE AND INFORMATION ARE PROVIDED "AS IS" WITHOUT WARRANTY OF ANY _x000d_
    KIND, EITHER EXPRESSED OR IMPLIED, INCLUDING BUT NOT LIMITED TO THE_x000d_
    IMPLIED WARRANTIES OF MERCHANTABILITY AND/OR FITNESS FOR A_x000d_
    PARTICULAR PURPOSE._x000d_
****************************************************************************************************/</dc:description>
  <cp:lastModifiedBy>李夏豪</cp:lastModifiedBy>
  <cp:lastPrinted>2019-03-12T02:34:23Z</cp:lastPrinted>
  <dcterms:created xsi:type="dcterms:W3CDTF">2011-08-30T06:17:53Z</dcterms:created>
  <dcterms:modified xsi:type="dcterms:W3CDTF">2020-06-09T08:56:58Z</dcterms:modified>
  <cp:category>Strictly Confidential</cp:category>
</cp:coreProperties>
</file>